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rugeleytowncouncil-my.sharepoint.com/personal/finance_rugeleytowncouncil_gov_uk/Documents/Documents/1a. FINANCE/Precept &amp; Budget/2023-24/"/>
    </mc:Choice>
  </mc:AlternateContent>
  <xr:revisionPtr revIDLastSave="5" documentId="8_{CA58B958-424B-48A8-8D69-F4FDE5A9BD15}" xr6:coauthVersionLast="47" xr6:coauthVersionMax="47" xr10:uidLastSave="{F06A862E-4B4B-433D-8CBF-6550ECF87266}"/>
  <bookViews>
    <workbookView xWindow="-120" yWindow="-120" windowWidth="29040" windowHeight="15720" xr2:uid="{00000000-000D-0000-FFFF-FFFF00000000}"/>
  </bookViews>
  <sheets>
    <sheet name="01.02.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104" i="4" l="1"/>
  <c r="H40" i="4"/>
  <c r="H27" i="4"/>
  <c r="H55" i="4"/>
  <c r="G44" i="4"/>
  <c r="G52" i="4"/>
  <c r="H52" i="4" s="1"/>
  <c r="G47" i="4"/>
  <c r="H47" i="4" s="1"/>
  <c r="G9" i="4"/>
  <c r="G7" i="4"/>
  <c r="H56" i="4"/>
  <c r="G55" i="4"/>
  <c r="H46" i="4"/>
  <c r="H45" i="4"/>
  <c r="H44" i="4"/>
  <c r="G40" i="4"/>
  <c r="H39" i="4"/>
  <c r="H35" i="4"/>
  <c r="H28" i="4"/>
  <c r="H26" i="4"/>
  <c r="G28" i="4"/>
  <c r="G27" i="4"/>
  <c r="H19" i="4"/>
  <c r="H18" i="4"/>
  <c r="G18" i="4"/>
  <c r="H51" i="4" l="1"/>
  <c r="H38" i="4"/>
  <c r="H16" i="4"/>
  <c r="H5" i="4"/>
  <c r="H31" i="4"/>
  <c r="P5" i="4"/>
  <c r="O5" i="4"/>
  <c r="G90" i="4"/>
  <c r="L103" i="4"/>
  <c r="G89" i="4"/>
  <c r="Q6" i="4"/>
  <c r="Q5" i="4" s="1"/>
  <c r="Q18" i="4"/>
  <c r="P18" i="4"/>
  <c r="O18" i="4"/>
  <c r="O44" i="4"/>
  <c r="P44" i="4" s="1"/>
  <c r="Q44" i="4" s="1"/>
  <c r="O26" i="4"/>
  <c r="P26" i="4" s="1"/>
  <c r="O54" i="4"/>
  <c r="P54" i="4" s="1"/>
  <c r="Q54" i="4" s="1"/>
  <c r="O53" i="4"/>
  <c r="P53" i="4" s="1"/>
  <c r="Q53" i="4" s="1"/>
  <c r="P52" i="4"/>
  <c r="Q52" i="4" s="1"/>
  <c r="O47" i="4"/>
  <c r="P47" i="4" s="1"/>
  <c r="Q47" i="4" s="1"/>
  <c r="O46" i="4"/>
  <c r="P46" i="4" s="1"/>
  <c r="Q46" i="4" s="1"/>
  <c r="O35" i="4"/>
  <c r="P35" i="4" s="1"/>
  <c r="Q35" i="4" s="1"/>
  <c r="O28" i="4"/>
  <c r="P28" i="4" s="1"/>
  <c r="Q28" i="4" s="1"/>
  <c r="O27" i="4"/>
  <c r="P27" i="4" s="1"/>
  <c r="Q27" i="4" s="1"/>
  <c r="H43" i="4" l="1"/>
  <c r="H25" i="4"/>
  <c r="H60" i="4" s="1"/>
  <c r="H11" i="4"/>
  <c r="H23" i="4" s="1"/>
  <c r="Q26" i="4"/>
  <c r="Q25" i="4" s="1"/>
  <c r="P25" i="4"/>
  <c r="O25" i="4"/>
  <c r="O55" i="4"/>
  <c r="P55" i="4" s="1"/>
  <c r="Q55" i="4" s="1"/>
  <c r="O40" i="4"/>
  <c r="H62" i="4" l="1"/>
  <c r="K103" i="4"/>
  <c r="G43" i="4"/>
  <c r="J43" i="4"/>
  <c r="I43" i="4"/>
  <c r="F43" i="4"/>
  <c r="G31" i="4"/>
  <c r="J31" i="4"/>
  <c r="I31" i="4"/>
  <c r="F31" i="4"/>
  <c r="J25" i="4"/>
  <c r="I25" i="4"/>
  <c r="F25" i="4"/>
  <c r="G25" i="4"/>
  <c r="G5" i="4"/>
  <c r="J5" i="4"/>
  <c r="I5" i="4"/>
  <c r="F5" i="4"/>
  <c r="P45" i="4"/>
  <c r="Q45" i="4" s="1"/>
  <c r="Q11" i="4"/>
  <c r="P11" i="4"/>
  <c r="P40" i="4"/>
  <c r="Q40" i="4" s="1"/>
  <c r="O11" i="4"/>
  <c r="O51" i="4" l="1"/>
  <c r="Q23" i="4"/>
  <c r="P31" i="4"/>
  <c r="Q31" i="4"/>
  <c r="O31" i="4"/>
  <c r="P23" i="4"/>
  <c r="Q51" i="4"/>
  <c r="Q38" i="4"/>
  <c r="P38" i="4"/>
  <c r="O38" i="4"/>
  <c r="O23" i="4"/>
  <c r="G38" i="4"/>
  <c r="J11" i="4"/>
  <c r="J51" i="4"/>
  <c r="J38" i="4"/>
  <c r="G51" i="4"/>
  <c r="G11" i="4"/>
  <c r="G83" i="4"/>
  <c r="I11" i="4"/>
  <c r="F11" i="4"/>
  <c r="J103" i="4"/>
  <c r="K104" i="4" s="1"/>
  <c r="I103" i="4"/>
  <c r="D92" i="4"/>
  <c r="D96" i="4" s="1"/>
  <c r="G91" i="4"/>
  <c r="I51" i="4"/>
  <c r="G86" i="4"/>
  <c r="H103" i="4"/>
  <c r="G103" i="4"/>
  <c r="F103" i="4"/>
  <c r="E101" i="4"/>
  <c r="E103" i="4" s="1"/>
  <c r="G87" i="4"/>
  <c r="G85" i="4"/>
  <c r="G84" i="4"/>
  <c r="G82" i="4"/>
  <c r="G75" i="4"/>
  <c r="P51" i="4" l="1"/>
  <c r="O43" i="4"/>
  <c r="G60" i="4"/>
  <c r="J60" i="4"/>
  <c r="J23" i="4"/>
  <c r="G23" i="4"/>
  <c r="I23" i="4"/>
  <c r="H104" i="4"/>
  <c r="I104" i="4"/>
  <c r="F38" i="4"/>
  <c r="G88" i="4"/>
  <c r="G92" i="4" s="1"/>
  <c r="F51" i="4"/>
  <c r="G104" i="4"/>
  <c r="J104" i="4"/>
  <c r="I38" i="4"/>
  <c r="I60" i="4" s="1"/>
  <c r="F104" i="4"/>
  <c r="E92" i="4"/>
  <c r="F92" i="4"/>
  <c r="O60" i="4" l="1"/>
  <c r="O62" i="4" s="1"/>
  <c r="O73" i="4" s="1"/>
  <c r="Q43" i="4"/>
  <c r="Q60" i="4" s="1"/>
  <c r="Q62" i="4" s="1"/>
  <c r="Q73" i="4" s="1"/>
  <c r="P43" i="4"/>
  <c r="P60" i="4" s="1"/>
  <c r="P62" i="4" s="1"/>
  <c r="P73" i="4" s="1"/>
  <c r="G62" i="4"/>
  <c r="J62" i="4"/>
  <c r="J66" i="4" s="1"/>
  <c r="F60" i="4"/>
  <c r="F23" i="4"/>
  <c r="I62" i="4"/>
  <c r="G96" i="4" l="1"/>
  <c r="G94" i="4" s="1"/>
  <c r="F6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 Roberts</author>
  </authors>
  <commentList>
    <comment ref="C6" authorId="0" shapeId="0" xr:uid="{98CE9A84-7C81-4F95-9727-DB4253E5C7CB}">
      <text>
        <r>
          <rPr>
            <b/>
            <sz val="9"/>
            <color rgb="FF000000"/>
            <rFont val="Tahoma"/>
            <family val="2"/>
          </rPr>
          <t>Kate Roberts: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April &amp; Oct
</t>
        </r>
        <r>
          <rPr>
            <sz val="9"/>
            <color rgb="FF000000"/>
            <rFont val="Tahoma"/>
            <family val="2"/>
          </rPr>
          <t>£151,817</t>
        </r>
      </text>
    </comment>
    <comment ref="H27" authorId="0" shapeId="0" xr:uid="{A7B1C5E0-497B-4B8F-B38F-D77BCBCC9F5E}">
      <text>
        <r>
          <rPr>
            <b/>
            <sz val="9"/>
            <color indexed="81"/>
            <rFont val="Tahoma"/>
            <family val="2"/>
          </rPr>
          <t>Kate Roberts:</t>
        </r>
        <r>
          <rPr>
            <sz val="9"/>
            <color indexed="81"/>
            <rFont val="Tahoma"/>
            <family val="2"/>
          </rPr>
          <t xml:space="preserve">
includes £1,400 accrual for YE Audits</t>
        </r>
      </text>
    </comment>
    <comment ref="H55" authorId="0" shapeId="0" xr:uid="{0E2E8B0C-EB70-46B9-9D46-C90BB1F42811}">
      <text>
        <r>
          <rPr>
            <b/>
            <sz val="9"/>
            <color indexed="81"/>
            <rFont val="Tahoma"/>
            <family val="2"/>
          </rPr>
          <t>Kate Roberts:</t>
        </r>
        <r>
          <rPr>
            <sz val="9"/>
            <color indexed="81"/>
            <rFont val="Tahoma"/>
            <family val="2"/>
          </rPr>
          <t xml:space="preserve">
includes £330 YE Stocktake &amp; Panto Music Licence </t>
        </r>
      </text>
    </comment>
    <comment ref="D94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Kate Roberts: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£7793 = YE Assets - Liabilites</t>
        </r>
      </text>
    </comment>
  </commentList>
</comments>
</file>

<file path=xl/sharedStrings.xml><?xml version="1.0" encoding="utf-8"?>
<sst xmlns="http://schemas.openxmlformats.org/spreadsheetml/2006/main" count="204" uniqueCount="138">
  <si>
    <t>Actual Year End Figures</t>
  </si>
  <si>
    <t>Notes</t>
  </si>
  <si>
    <t>Expenditure</t>
  </si>
  <si>
    <t>£</t>
  </si>
  <si>
    <t>£</t>
    <phoneticPr fontId="5" type="noConversion"/>
  </si>
  <si>
    <t>Staff Costs inc Salaries, Pension and PAYE/NI</t>
  </si>
  <si>
    <t>Administration Costs (inc Cllr Training, Chairs Allow, Insurance)</t>
  </si>
  <si>
    <t>Car Parking Subsidy for One Year</t>
  </si>
  <si>
    <t>Total Community Engagement Committee Expenditure:</t>
  </si>
  <si>
    <t>Total figure from blue items below</t>
  </si>
  <si>
    <t>a</t>
  </si>
  <si>
    <t>b</t>
  </si>
  <si>
    <t>c</t>
  </si>
  <si>
    <t>d</t>
  </si>
  <si>
    <t>e</t>
  </si>
  <si>
    <t>f</t>
  </si>
  <si>
    <t>g</t>
  </si>
  <si>
    <t>h</t>
  </si>
  <si>
    <t>Small Grant Award and HLF</t>
  </si>
  <si>
    <t xml:space="preserve">Neighbourhood Plan </t>
  </si>
  <si>
    <t>Total Rugeley Rose Theatre Operating Costs:</t>
  </si>
  <si>
    <t>Casual Staff inc Retainer</t>
  </si>
  <si>
    <t>Administration (inc Stationery &amp; Supplies, Post, Phone, Web)</t>
  </si>
  <si>
    <t>Performance Marketing &amp; Equipment</t>
  </si>
  <si>
    <t>Total Rugeley Rose Theatre Discretionary Costs:</t>
  </si>
  <si>
    <t>Rose Bar and Coffee Bar</t>
  </si>
  <si>
    <t>Pop up / Drive in Cinema</t>
  </si>
  <si>
    <t>Pantomime Expenditure</t>
  </si>
  <si>
    <t>Theatre Costs (Stocktaker, Tech Room, Licences)</t>
  </si>
  <si>
    <t>Rugeley Fringe Festival</t>
  </si>
  <si>
    <t>TOTAL OPERATING AND DISCRETIONARY COSTS</t>
  </si>
  <si>
    <t>Income</t>
  </si>
  <si>
    <t>Income from Grants, Donations, Bank Interest and CIL</t>
  </si>
  <si>
    <t>Precept</t>
  </si>
  <si>
    <t>Total Rose Theatre Income:</t>
  </si>
  <si>
    <t>Pantomime Income</t>
  </si>
  <si>
    <t>Theatre Bookings</t>
  </si>
  <si>
    <t>Rugeley Fringe Festival Fundraising &amp; Donations</t>
  </si>
  <si>
    <t>TOTAL INCOME</t>
  </si>
  <si>
    <t>INCOME OVER EXPENDITURE</t>
  </si>
  <si>
    <t>Lloyds Bank</t>
    <phoneticPr fontId="5" type="noConversion"/>
  </si>
  <si>
    <t xml:space="preserve">Santander </t>
  </si>
  <si>
    <t>Petty Cash + Bar Float</t>
  </si>
  <si>
    <t>Total Cash &amp; Bank Accounts</t>
  </si>
  <si>
    <t>Reserves</t>
  </si>
  <si>
    <t>Earmarked Reserves</t>
  </si>
  <si>
    <t>Election Fund</t>
  </si>
  <si>
    <t>Contingency Fund</t>
  </si>
  <si>
    <t>USL Removal Fund</t>
  </si>
  <si>
    <t xml:space="preserve">Renovations and Renewals </t>
  </si>
  <si>
    <t xml:space="preserve">Community Projects </t>
  </si>
  <si>
    <t>Heritage Lottery Fund</t>
  </si>
  <si>
    <t>Community Infrastructure Levy</t>
  </si>
  <si>
    <t>Car Parking Subsidy</t>
  </si>
  <si>
    <t>Total Earmarked Reserves</t>
  </si>
  <si>
    <t>General Reserves</t>
  </si>
  <si>
    <t>TOTAL RESERVES</t>
  </si>
  <si>
    <t>Total Cash &amp; Bank Accounts at Year End</t>
    <phoneticPr fontId="5" type="noConversion"/>
  </si>
  <si>
    <t>2016-2017</t>
  </si>
  <si>
    <t>2017-2018</t>
  </si>
  <si>
    <t>2018-2019</t>
  </si>
  <si>
    <t>2019-2020</t>
  </si>
  <si>
    <t>2020-2021</t>
  </si>
  <si>
    <t>2021-2022</t>
  </si>
  <si>
    <r>
      <t>Precept</t>
    </r>
    <r>
      <rPr>
        <sz val="13"/>
        <rFont val="Calibri"/>
        <family val="2"/>
        <scheme val="minor"/>
      </rPr>
      <t xml:space="preserve"> </t>
    </r>
  </si>
  <si>
    <t>Apportioned Tax Base</t>
  </si>
  <si>
    <t>Resultant Band D Tax</t>
  </si>
  <si>
    <t>Percentage change to last year Increase/(Decrease)</t>
  </si>
  <si>
    <t>Total Rugeley Town Council Income:</t>
  </si>
  <si>
    <t>2021-22</t>
  </si>
  <si>
    <t>Rugeley Town Council Operating Costs:</t>
  </si>
  <si>
    <t>Rugeley Town Council Discretionary Costs:</t>
  </si>
  <si>
    <t>National Lottery Heritage Fund</t>
  </si>
  <si>
    <t>Unity Trust Bank</t>
  </si>
  <si>
    <t>Job Retention Scheme Grant</t>
  </si>
  <si>
    <t>JC Decaux has 6 years to Feb 2024 to claim payment on this outstanding contested bill</t>
  </si>
  <si>
    <t>i</t>
  </si>
  <si>
    <t>Arts Council Grant</t>
  </si>
  <si>
    <t>Arts Council Grant Expenditure</t>
  </si>
  <si>
    <t>2022-23</t>
  </si>
  <si>
    <t>Anticipated Closing Balance 31 March 2023</t>
  </si>
  <si>
    <t>Assumptions</t>
  </si>
  <si>
    <t>Increase in precept required to balance budget</t>
  </si>
  <si>
    <t>2023-24</t>
  </si>
  <si>
    <t>2024-25</t>
  </si>
  <si>
    <t>Projected Budget</t>
  </si>
  <si>
    <t>Newsletter</t>
  </si>
  <si>
    <t>Artisan &amp; Christmas Market income</t>
  </si>
  <si>
    <t>Budget Approved 26.01.2022</t>
  </si>
  <si>
    <t>Updated Budget</t>
  </si>
  <si>
    <t>Actual Year to Date</t>
  </si>
  <si>
    <t>Ticket Sales</t>
  </si>
  <si>
    <t>j</t>
  </si>
  <si>
    <t>Premises and Maintenance (inc Water, Rates, Alarms, etc)</t>
  </si>
  <si>
    <t>Electricity</t>
  </si>
  <si>
    <t>RM write off</t>
  </si>
  <si>
    <t>Christmas Lights Costs</t>
  </si>
  <si>
    <t>Communmity Initiatives</t>
  </si>
  <si>
    <t>Rugeleys Big Celebration &amp; Mindfulness Garden</t>
  </si>
  <si>
    <t>Premises and Maintenance (inc Water, Rates, Alarms etc)</t>
  </si>
  <si>
    <t>Reimbursement of Ticket Sales</t>
  </si>
  <si>
    <t>2022-2023</t>
  </si>
  <si>
    <t>Opening Balance b/f 1 April 2022</t>
  </si>
  <si>
    <t>Transfers to Reserves 2022-23</t>
  </si>
  <si>
    <t>Transfers from Reserves 2022-23</t>
  </si>
  <si>
    <t>£6,416 Roof Repair Costs transferred from Reserves for major repairs, renovations and renewals</t>
  </si>
  <si>
    <t>2025-26</t>
  </si>
  <si>
    <t>CCLA</t>
  </si>
  <si>
    <t xml:space="preserve">a percentage of the income from ticket sales is reimbursed to the organiser </t>
  </si>
  <si>
    <t>Planning Committee requested additional funds to match any possible grants</t>
  </si>
  <si>
    <t>increase budget to cover production costs</t>
  </si>
  <si>
    <t>Fraudulent transactions written off</t>
  </si>
  <si>
    <t>£10k increase from EMR for the new contract and electricity costs</t>
  </si>
  <si>
    <t>2021-2022 £20k grant for garden + £5k from EMR for Big Celebration</t>
  </si>
  <si>
    <t>Casual wages for bar staff and technicians</t>
  </si>
  <si>
    <t>Panto costs of around £10,000 are generally offset by income from ticket sales</t>
  </si>
  <si>
    <t>A % of income from ticket sales is reimbursed to event organiser depending on hire arrangement</t>
  </si>
  <si>
    <t>Town Clerk, RFO, Dev Man and Admin Officer salaries and on costs + est pay award and new staff hours</t>
  </si>
  <si>
    <t>£10k for Xmas Lights and £5k for Rugeleys Big Celebration and £3k Ukrainians</t>
  </si>
  <si>
    <t>includes income generated by new Dev Man role</t>
  </si>
  <si>
    <t>Theatre Manager, Cleaner, Caretaker salaries and on costs + est pay award</t>
  </si>
  <si>
    <t>£2k for Ukrainian refugee support</t>
  </si>
  <si>
    <t xml:space="preserve">Charter Fair Income </t>
  </si>
  <si>
    <t>Income from Grants</t>
  </si>
  <si>
    <t>10a</t>
  </si>
  <si>
    <t>Transfer from Earmarked Reserves</t>
  </si>
  <si>
    <t>10b</t>
  </si>
  <si>
    <t>Amount to come from General Reserves</t>
  </si>
  <si>
    <t>2023-2024</t>
  </si>
  <si>
    <t>1. Staff cost increase</t>
  </si>
  <si>
    <t>2. Inflation rate</t>
  </si>
  <si>
    <t>New flat roof for Landor Suite</t>
  </si>
  <si>
    <t>Solar Panels and battery</t>
  </si>
  <si>
    <t>Apr-Dec '22</t>
  </si>
  <si>
    <t>Projected Year End</t>
  </si>
  <si>
    <t>£3,208 increase for new roof between the theatre and council offices from EMR</t>
  </si>
  <si>
    <t>BALANCES AS AT 31 December 2022</t>
  </si>
  <si>
    <t>Under consideration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</si>
</sst>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#,##0;\(#,##0\)"/>
    <numFmt numFmtId="167" formatCode="0.0%"/>
    <numFmt numFmtId="168" formatCode="_-* #,##0_-;\-* #,##0_-;_-* &quot;-&quot;??_-;_-@_-"/>
    <numFmt numFmtId="169" formatCode="_(* #,##0_);_(* \(#,##0\);_(* &quot;-&quot;??_);_(@_)"/>
    <numFmt numFmtId="170" formatCode="0.000%"/>
  </numFmts>
  <fonts count="4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color indexed="10"/>
      <name val="Calibri"/>
      <family val="2"/>
    </font>
    <font>
      <b/>
      <sz val="13"/>
      <color indexed="10"/>
      <name val="Calibri"/>
      <family val="2"/>
    </font>
    <font>
      <sz val="13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indexed="8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sz val="13"/>
      <color indexed="12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rgb="FF366092"/>
      <name val="Calibri"/>
      <family val="2"/>
      <scheme val="minor"/>
    </font>
    <font>
      <b/>
      <u/>
      <sz val="13"/>
      <color rgb="FF000000"/>
      <name val="Calibri"/>
      <family val="2"/>
      <scheme val="minor"/>
    </font>
    <font>
      <sz val="13"/>
      <color rgb="FF0000FF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</font>
    <font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u/>
      <sz val="13"/>
      <color theme="1"/>
      <name val="Calibri (Body)"/>
    </font>
    <font>
      <i/>
      <sz val="13"/>
      <name val="Calibri"/>
      <family val="2"/>
    </font>
    <font>
      <sz val="13"/>
      <color theme="6" tint="0.39997558519241921"/>
      <name val="Calibri"/>
      <family val="2"/>
      <scheme val="minor"/>
    </font>
    <font>
      <sz val="13"/>
      <color rgb="FF0070C0"/>
      <name val="Calibri"/>
      <family val="2"/>
    </font>
    <font>
      <i/>
      <sz val="12"/>
      <color rgb="FF0070C0"/>
      <name val="Calibri"/>
      <family val="2"/>
      <scheme val="minor"/>
    </font>
    <font>
      <b/>
      <sz val="13"/>
      <color rgb="FF0070C0"/>
      <name val="Calibri"/>
      <family val="2"/>
    </font>
    <font>
      <b/>
      <sz val="13"/>
      <color indexed="12"/>
      <name val="Calibri"/>
      <family val="2"/>
    </font>
    <font>
      <b/>
      <i/>
      <sz val="12"/>
      <name val="Calibri"/>
      <family val="2"/>
      <scheme val="minor"/>
    </font>
    <font>
      <b/>
      <i/>
      <sz val="13"/>
      <name val="Calibri"/>
      <family val="2"/>
      <scheme val="minor"/>
    </font>
    <font>
      <i/>
      <sz val="12"/>
      <name val="Calibri"/>
      <family val="2"/>
      <scheme val="minor"/>
    </font>
    <font>
      <b/>
      <sz val="13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165" fontId="6" fillId="0" borderId="0" applyFont="0" applyFill="0" applyBorder="0" applyAlignment="0" applyProtection="0"/>
  </cellStyleXfs>
  <cellXfs count="219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13" fillId="0" borderId="3" xfId="0" applyFont="1" applyBorder="1"/>
    <xf numFmtId="0" fontId="14" fillId="0" borderId="3" xfId="0" applyFont="1" applyBorder="1" applyAlignment="1">
      <alignment wrapText="1"/>
    </xf>
    <xf numFmtId="0" fontId="13" fillId="0" borderId="0" xfId="0" applyFont="1"/>
    <xf numFmtId="164" fontId="13" fillId="0" borderId="0" xfId="0" applyNumberFormat="1" applyFont="1"/>
    <xf numFmtId="164" fontId="14" fillId="0" borderId="0" xfId="0" applyNumberFormat="1" applyFont="1"/>
    <xf numFmtId="0" fontId="13" fillId="0" borderId="0" xfId="0" applyFont="1" applyAlignment="1">
      <alignment horizontal="left"/>
    </xf>
    <xf numFmtId="2" fontId="7" fillId="0" borderId="0" xfId="0" applyNumberFormat="1" applyFont="1"/>
    <xf numFmtId="0" fontId="17" fillId="0" borderId="0" xfId="0" applyFont="1" applyAlignment="1">
      <alignment horizontal="center"/>
    </xf>
    <xf numFmtId="166" fontId="12" fillId="0" borderId="0" xfId="1" applyNumberFormat="1" applyFont="1" applyAlignment="1">
      <alignment horizontal="left"/>
    </xf>
    <xf numFmtId="4" fontId="18" fillId="0" borderId="0" xfId="1" applyNumberFormat="1" applyFont="1" applyAlignment="1">
      <alignment horizontal="right" vertical="center" wrapText="1"/>
    </xf>
    <xf numFmtId="3" fontId="10" fillId="3" borderId="1" xfId="1" applyNumberFormat="1" applyFont="1" applyFill="1" applyBorder="1" applyAlignment="1">
      <alignment vertical="center" wrapText="1"/>
    </xf>
    <xf numFmtId="3" fontId="10" fillId="4" borderId="1" xfId="1" applyNumberFormat="1" applyFont="1" applyFill="1" applyBorder="1" applyAlignment="1">
      <alignment vertical="center" wrapText="1"/>
    </xf>
    <xf numFmtId="166" fontId="10" fillId="0" borderId="0" xfId="1" applyNumberFormat="1" applyFont="1" applyAlignment="1">
      <alignment horizontal="left" vertical="center"/>
    </xf>
    <xf numFmtId="4" fontId="18" fillId="0" borderId="0" xfId="1" applyNumberFormat="1" applyFont="1" applyAlignment="1" applyProtection="1">
      <alignment horizontal="right" vertical="center" wrapText="1"/>
      <protection locked="0"/>
    </xf>
    <xf numFmtId="4" fontId="10" fillId="3" borderId="1" xfId="1" applyNumberFormat="1" applyFont="1" applyFill="1" applyBorder="1" applyAlignment="1" applyProtection="1">
      <alignment vertical="center" wrapText="1"/>
      <protection locked="0"/>
    </xf>
    <xf numFmtId="4" fontId="10" fillId="4" borderId="1" xfId="1" applyNumberFormat="1" applyFont="1" applyFill="1" applyBorder="1" applyAlignment="1" applyProtection="1">
      <alignment vertical="center" wrapText="1"/>
      <protection locked="0"/>
    </xf>
    <xf numFmtId="166" fontId="12" fillId="0" borderId="0" xfId="1" applyNumberFormat="1" applyFont="1" applyAlignment="1">
      <alignment horizontal="left" vertical="center"/>
    </xf>
    <xf numFmtId="4" fontId="19" fillId="0" borderId="0" xfId="1" applyNumberFormat="1" applyFont="1" applyAlignment="1">
      <alignment horizontal="right" vertical="center" wrapText="1"/>
    </xf>
    <xf numFmtId="4" fontId="12" fillId="3" borderId="1" xfId="1" applyNumberFormat="1" applyFont="1" applyFill="1" applyBorder="1" applyAlignment="1">
      <alignment vertical="center" wrapText="1"/>
    </xf>
    <xf numFmtId="4" fontId="12" fillId="4" borderId="1" xfId="1" applyNumberFormat="1" applyFont="1" applyFill="1" applyBorder="1" applyAlignment="1">
      <alignment vertical="center" wrapText="1"/>
    </xf>
    <xf numFmtId="0" fontId="10" fillId="0" borderId="0" xfId="1" applyFont="1" applyAlignment="1">
      <alignment horizontal="left" vertical="center"/>
    </xf>
    <xf numFmtId="4" fontId="18" fillId="0" borderId="0" xfId="1" applyNumberFormat="1" applyFont="1" applyAlignment="1">
      <alignment vertical="center"/>
    </xf>
    <xf numFmtId="167" fontId="10" fillId="3" borderId="1" xfId="1" applyNumberFormat="1" applyFont="1" applyFill="1" applyBorder="1" applyAlignment="1" applyProtection="1">
      <alignment horizontal="right"/>
      <protection locked="0"/>
    </xf>
    <xf numFmtId="167" fontId="10" fillId="4" borderId="1" xfId="1" applyNumberFormat="1" applyFont="1" applyFill="1" applyBorder="1" applyAlignment="1" applyProtection="1">
      <alignment horizontal="right"/>
      <protection locked="0"/>
    </xf>
    <xf numFmtId="0" fontId="14" fillId="0" borderId="6" xfId="0" applyFont="1" applyBorder="1"/>
    <xf numFmtId="3" fontId="13" fillId="0" borderId="0" xfId="0" applyNumberFormat="1" applyFont="1"/>
    <xf numFmtId="3" fontId="14" fillId="0" borderId="0" xfId="0" applyNumberFormat="1" applyFont="1"/>
    <xf numFmtId="3" fontId="7" fillId="0" borderId="0" xfId="0" applyNumberFormat="1" applyFont="1"/>
    <xf numFmtId="0" fontId="20" fillId="0" borderId="0" xfId="0" applyFont="1"/>
    <xf numFmtId="3" fontId="10" fillId="2" borderId="8" xfId="1" applyNumberFormat="1" applyFont="1" applyFill="1" applyBorder="1" applyAlignment="1">
      <alignment vertical="center" wrapText="1"/>
    </xf>
    <xf numFmtId="4" fontId="10" fillId="2" borderId="8" xfId="1" applyNumberFormat="1" applyFont="1" applyFill="1" applyBorder="1" applyAlignment="1" applyProtection="1">
      <alignment vertical="center" wrapText="1"/>
      <protection locked="0"/>
    </xf>
    <xf numFmtId="4" fontId="12" fillId="2" borderId="8" xfId="1" applyNumberFormat="1" applyFont="1" applyFill="1" applyBorder="1" applyAlignment="1">
      <alignment vertical="center" wrapText="1"/>
    </xf>
    <xf numFmtId="167" fontId="10" fillId="2" borderId="8" xfId="1" applyNumberFormat="1" applyFont="1" applyFill="1" applyBorder="1" applyAlignment="1" applyProtection="1">
      <alignment horizontal="right"/>
      <protection locked="0"/>
    </xf>
    <xf numFmtId="3" fontId="15" fillId="0" borderId="0" xfId="0" applyNumberFormat="1" applyFont="1"/>
    <xf numFmtId="3" fontId="13" fillId="0" borderId="7" xfId="0" applyNumberFormat="1" applyFont="1" applyBorder="1"/>
    <xf numFmtId="3" fontId="16" fillId="0" borderId="6" xfId="0" applyNumberFormat="1" applyFont="1" applyBorder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3" fontId="10" fillId="7" borderId="9" xfId="1" applyNumberFormat="1" applyFont="1" applyFill="1" applyBorder="1" applyAlignment="1">
      <alignment vertical="center" wrapText="1"/>
    </xf>
    <xf numFmtId="4" fontId="10" fillId="7" borderId="9" xfId="1" applyNumberFormat="1" applyFont="1" applyFill="1" applyBorder="1" applyAlignment="1" applyProtection="1">
      <alignment vertical="center" wrapText="1"/>
      <protection locked="0"/>
    </xf>
    <xf numFmtId="4" fontId="12" fillId="7" borderId="9" xfId="1" applyNumberFormat="1" applyFont="1" applyFill="1" applyBorder="1" applyAlignment="1">
      <alignment vertical="center" wrapText="1"/>
    </xf>
    <xf numFmtId="167" fontId="10" fillId="7" borderId="9" xfId="1" applyNumberFormat="1" applyFont="1" applyFill="1" applyBorder="1" applyAlignment="1" applyProtection="1">
      <alignment horizontal="right"/>
      <protection locked="0"/>
    </xf>
    <xf numFmtId="3" fontId="7" fillId="8" borderId="9" xfId="0" applyNumberFormat="1" applyFont="1" applyFill="1" applyBorder="1"/>
    <xf numFmtId="4" fontId="7" fillId="8" borderId="9" xfId="0" applyNumberFormat="1" applyFont="1" applyFill="1" applyBorder="1"/>
    <xf numFmtId="2" fontId="8" fillId="8" borderId="9" xfId="0" applyNumberFormat="1" applyFont="1" applyFill="1" applyBorder="1"/>
    <xf numFmtId="0" fontId="29" fillId="0" borderId="0" xfId="0" applyFont="1" applyAlignment="1">
      <alignment horizontal="center"/>
    </xf>
    <xf numFmtId="0" fontId="28" fillId="0" borderId="0" xfId="0" applyFont="1"/>
    <xf numFmtId="0" fontId="31" fillId="0" borderId="0" xfId="0" applyFont="1"/>
    <xf numFmtId="3" fontId="30" fillId="0" borderId="6" xfId="0" applyNumberFormat="1" applyFont="1" applyBorder="1"/>
    <xf numFmtId="10" fontId="10" fillId="8" borderId="9" xfId="1" applyNumberFormat="1" applyFont="1" applyFill="1" applyBorder="1" applyAlignment="1" applyProtection="1">
      <alignment horizontal="right"/>
      <protection locked="0"/>
    </xf>
    <xf numFmtId="0" fontId="29" fillId="0" borderId="0" xfId="0" applyFont="1"/>
    <xf numFmtId="3" fontId="8" fillId="0" borderId="0" xfId="5" applyNumberFormat="1" applyFont="1" applyFill="1" applyBorder="1"/>
    <xf numFmtId="3" fontId="11" fillId="0" borderId="0" xfId="5" applyNumberFormat="1" applyFont="1" applyFill="1" applyBorder="1"/>
    <xf numFmtId="3" fontId="16" fillId="0" borderId="0" xfId="0" applyNumberFormat="1" applyFont="1"/>
    <xf numFmtId="0" fontId="14" fillId="0" borderId="0" xfId="0" applyFont="1"/>
    <xf numFmtId="0" fontId="15" fillId="0" borderId="0" xfId="0" applyFont="1"/>
    <xf numFmtId="0" fontId="30" fillId="0" borderId="0" xfId="0" applyFont="1"/>
    <xf numFmtId="0" fontId="28" fillId="0" borderId="3" xfId="0" applyFont="1" applyBorder="1"/>
    <xf numFmtId="0" fontId="7" fillId="0" borderId="3" xfId="0" applyFont="1" applyBorder="1"/>
    <xf numFmtId="0" fontId="7" fillId="0" borderId="6" xfId="0" applyFont="1" applyBorder="1"/>
    <xf numFmtId="168" fontId="8" fillId="6" borderId="10" xfId="5" applyNumberFormat="1" applyFont="1" applyFill="1" applyBorder="1" applyAlignment="1">
      <alignment horizontal="center" wrapText="1"/>
    </xf>
    <xf numFmtId="168" fontId="8" fillId="6" borderId="12" xfId="5" applyNumberFormat="1" applyFont="1" applyFill="1" applyBorder="1" applyAlignment="1">
      <alignment horizontal="center" wrapText="1"/>
    </xf>
    <xf numFmtId="3" fontId="12" fillId="6" borderId="12" xfId="5" applyNumberFormat="1" applyFont="1" applyFill="1" applyBorder="1"/>
    <xf numFmtId="3" fontId="20" fillId="6" borderId="12" xfId="5" applyNumberFormat="1" applyFont="1" applyFill="1" applyBorder="1"/>
    <xf numFmtId="3" fontId="7" fillId="6" borderId="12" xfId="5" applyNumberFormat="1" applyFont="1" applyFill="1" applyBorder="1"/>
    <xf numFmtId="3" fontId="8" fillId="6" borderId="12" xfId="5" applyNumberFormat="1" applyFont="1" applyFill="1" applyBorder="1"/>
    <xf numFmtId="3" fontId="9" fillId="6" borderId="12" xfId="5" applyNumberFormat="1" applyFont="1" applyFill="1" applyBorder="1"/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68" fontId="8" fillId="6" borderId="13" xfId="5" applyNumberFormat="1" applyFont="1" applyFill="1" applyBorder="1" applyAlignment="1">
      <alignment horizontal="center" wrapText="1"/>
    </xf>
    <xf numFmtId="3" fontId="8" fillId="6" borderId="18" xfId="5" applyNumberFormat="1" applyFont="1" applyFill="1" applyBorder="1"/>
    <xf numFmtId="3" fontId="12" fillId="0" borderId="12" xfId="5" applyNumberFormat="1" applyFont="1" applyFill="1" applyBorder="1"/>
    <xf numFmtId="3" fontId="20" fillId="0" borderId="12" xfId="5" applyNumberFormat="1" applyFont="1" applyFill="1" applyBorder="1"/>
    <xf numFmtId="3" fontId="7" fillId="0" borderId="12" xfId="5" applyNumberFormat="1" applyFont="1" applyFill="1" applyBorder="1"/>
    <xf numFmtId="3" fontId="8" fillId="0" borderId="18" xfId="5" applyNumberFormat="1" applyFont="1" applyFill="1" applyBorder="1"/>
    <xf numFmtId="168" fontId="8" fillId="0" borderId="12" xfId="5" applyNumberFormat="1" applyFont="1" applyFill="1" applyBorder="1" applyAlignment="1">
      <alignment horizontal="center" wrapText="1"/>
    </xf>
    <xf numFmtId="3" fontId="8" fillId="0" borderId="12" xfId="5" applyNumberFormat="1" applyFont="1" applyFill="1" applyBorder="1"/>
    <xf numFmtId="3" fontId="9" fillId="0" borderId="12" xfId="5" applyNumberFormat="1" applyFont="1" applyFill="1" applyBorder="1"/>
    <xf numFmtId="10" fontId="10" fillId="5" borderId="8" xfId="1" applyNumberFormat="1" applyFont="1" applyFill="1" applyBorder="1" applyProtection="1">
      <protection locked="0"/>
    </xf>
    <xf numFmtId="0" fontId="17" fillId="0" borderId="7" xfId="0" applyFont="1" applyBorder="1"/>
    <xf numFmtId="3" fontId="10" fillId="5" borderId="8" xfId="1" applyNumberFormat="1" applyFont="1" applyFill="1" applyBorder="1" applyAlignment="1">
      <alignment vertical="center" wrapText="1"/>
    </xf>
    <xf numFmtId="4" fontId="10" fillId="5" borderId="8" xfId="1" applyNumberFormat="1" applyFont="1" applyFill="1" applyBorder="1" applyAlignment="1" applyProtection="1">
      <alignment vertical="center" wrapText="1"/>
      <protection locked="0"/>
    </xf>
    <xf numFmtId="4" fontId="12" fillId="5" borderId="8" xfId="1" applyNumberFormat="1" applyFont="1" applyFill="1" applyBorder="1" applyAlignment="1">
      <alignment vertical="center" wrapText="1"/>
    </xf>
    <xf numFmtId="0" fontId="23" fillId="9" borderId="14" xfId="0" applyFont="1" applyFill="1" applyBorder="1" applyAlignment="1">
      <alignment horizontal="center" wrapText="1"/>
    </xf>
    <xf numFmtId="0" fontId="23" fillId="9" borderId="16" xfId="0" applyFont="1" applyFill="1" applyBorder="1" applyAlignment="1">
      <alignment horizontal="center"/>
    </xf>
    <xf numFmtId="0" fontId="23" fillId="9" borderId="15" xfId="0" applyFont="1" applyFill="1" applyBorder="1" applyAlignment="1">
      <alignment horizontal="center"/>
    </xf>
    <xf numFmtId="3" fontId="12" fillId="9" borderId="12" xfId="5" applyNumberFormat="1" applyFont="1" applyFill="1" applyBorder="1"/>
    <xf numFmtId="3" fontId="20" fillId="9" borderId="12" xfId="5" applyNumberFormat="1" applyFont="1" applyFill="1" applyBorder="1"/>
    <xf numFmtId="3" fontId="7" fillId="9" borderId="12" xfId="5" applyNumberFormat="1" applyFont="1" applyFill="1" applyBorder="1"/>
    <xf numFmtId="3" fontId="8" fillId="9" borderId="18" xfId="5" applyNumberFormat="1" applyFont="1" applyFill="1" applyBorder="1"/>
    <xf numFmtId="168" fontId="8" fillId="9" borderId="12" xfId="5" applyNumberFormat="1" applyFont="1" applyFill="1" applyBorder="1" applyAlignment="1">
      <alignment horizontal="center" wrapText="1"/>
    </xf>
    <xf numFmtId="3" fontId="8" fillId="9" borderId="12" xfId="5" applyNumberFormat="1" applyFont="1" applyFill="1" applyBorder="1"/>
    <xf numFmtId="3" fontId="9" fillId="9" borderId="12" xfId="5" applyNumberFormat="1" applyFont="1" applyFill="1" applyBorder="1"/>
    <xf numFmtId="0" fontId="16" fillId="0" borderId="0" xfId="0" applyFont="1"/>
    <xf numFmtId="3" fontId="12" fillId="10" borderId="15" xfId="5" applyNumberFormat="1" applyFont="1" applyFill="1" applyBorder="1"/>
    <xf numFmtId="3" fontId="20" fillId="10" borderId="15" xfId="5" applyNumberFormat="1" applyFont="1" applyFill="1" applyBorder="1"/>
    <xf numFmtId="3" fontId="7" fillId="10" borderId="15" xfId="5" applyNumberFormat="1" applyFont="1" applyFill="1" applyBorder="1"/>
    <xf numFmtId="3" fontId="8" fillId="10" borderId="17" xfId="5" applyNumberFormat="1" applyFont="1" applyFill="1" applyBorder="1"/>
    <xf numFmtId="3" fontId="32" fillId="10" borderId="15" xfId="0" applyNumberFormat="1" applyFont="1" applyFill="1" applyBorder="1"/>
    <xf numFmtId="3" fontId="8" fillId="10" borderId="15" xfId="5" applyNumberFormat="1" applyFont="1" applyFill="1" applyBorder="1"/>
    <xf numFmtId="3" fontId="9" fillId="10" borderId="15" xfId="5" applyNumberFormat="1" applyFont="1" applyFill="1" applyBorder="1"/>
    <xf numFmtId="3" fontId="20" fillId="0" borderId="0" xfId="5" applyNumberFormat="1" applyFont="1" applyFill="1" applyBorder="1"/>
    <xf numFmtId="0" fontId="36" fillId="0" borderId="0" xfId="0" applyFont="1"/>
    <xf numFmtId="0" fontId="1" fillId="0" borderId="0" xfId="0" applyFont="1"/>
    <xf numFmtId="9" fontId="7" fillId="0" borderId="0" xfId="0" applyNumberFormat="1" applyFont="1"/>
    <xf numFmtId="3" fontId="12" fillId="9" borderId="15" xfId="5" applyNumberFormat="1" applyFont="1" applyFill="1" applyBorder="1"/>
    <xf numFmtId="3" fontId="20" fillId="9" borderId="15" xfId="5" applyNumberFormat="1" applyFont="1" applyFill="1" applyBorder="1"/>
    <xf numFmtId="3" fontId="7" fillId="9" borderId="15" xfId="5" applyNumberFormat="1" applyFont="1" applyFill="1" applyBorder="1"/>
    <xf numFmtId="3" fontId="8" fillId="9" borderId="17" xfId="5" applyNumberFormat="1" applyFont="1" applyFill="1" applyBorder="1"/>
    <xf numFmtId="3" fontId="8" fillId="9" borderId="15" xfId="5" applyNumberFormat="1" applyFont="1" applyFill="1" applyBorder="1"/>
    <xf numFmtId="3" fontId="32" fillId="9" borderId="15" xfId="0" applyNumberFormat="1" applyFont="1" applyFill="1" applyBorder="1"/>
    <xf numFmtId="3" fontId="9" fillId="9" borderId="15" xfId="5" applyNumberFormat="1" applyFont="1" applyFill="1" applyBorder="1"/>
    <xf numFmtId="3" fontId="12" fillId="11" borderId="15" xfId="5" applyNumberFormat="1" applyFont="1" applyFill="1" applyBorder="1"/>
    <xf numFmtId="3" fontId="20" fillId="11" borderId="15" xfId="5" applyNumberFormat="1" applyFont="1" applyFill="1" applyBorder="1"/>
    <xf numFmtId="3" fontId="7" fillId="11" borderId="15" xfId="5" applyNumberFormat="1" applyFont="1" applyFill="1" applyBorder="1"/>
    <xf numFmtId="3" fontId="8" fillId="11" borderId="17" xfId="5" applyNumberFormat="1" applyFont="1" applyFill="1" applyBorder="1"/>
    <xf numFmtId="3" fontId="8" fillId="11" borderId="15" xfId="5" applyNumberFormat="1" applyFont="1" applyFill="1" applyBorder="1"/>
    <xf numFmtId="3" fontId="32" fillId="11" borderId="15" xfId="0" applyNumberFormat="1" applyFont="1" applyFill="1" applyBorder="1"/>
    <xf numFmtId="3" fontId="9" fillId="11" borderId="15" xfId="5" applyNumberFormat="1" applyFont="1" applyFill="1" applyBorder="1"/>
    <xf numFmtId="167" fontId="16" fillId="0" borderId="0" xfId="0" applyNumberFormat="1" applyFont="1"/>
    <xf numFmtId="3" fontId="8" fillId="11" borderId="18" xfId="5" applyNumberFormat="1" applyFont="1" applyFill="1" applyBorder="1"/>
    <xf numFmtId="10" fontId="7" fillId="0" borderId="0" xfId="0" applyNumberFormat="1" applyFont="1"/>
    <xf numFmtId="169" fontId="12" fillId="0" borderId="12" xfId="5" applyNumberFormat="1" applyFont="1" applyFill="1" applyBorder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3" fontId="12" fillId="0" borderId="0" xfId="5" applyNumberFormat="1" applyFont="1" applyFill="1" applyBorder="1"/>
    <xf numFmtId="3" fontId="7" fillId="0" borderId="0" xfId="5" applyNumberFormat="1" applyFont="1" applyFill="1" applyBorder="1"/>
    <xf numFmtId="3" fontId="9" fillId="0" borderId="0" xfId="5" applyNumberFormat="1" applyFont="1" applyFill="1" applyBorder="1"/>
    <xf numFmtId="169" fontId="12" fillId="9" borderId="12" xfId="5" applyNumberFormat="1" applyFont="1" applyFill="1" applyBorder="1"/>
    <xf numFmtId="169" fontId="12" fillId="6" borderId="12" xfId="5" applyNumberFormat="1" applyFont="1" applyFill="1" applyBorder="1"/>
    <xf numFmtId="0" fontId="14" fillId="0" borderId="4" xfId="0" applyFont="1" applyBorder="1" applyAlignment="1">
      <alignment wrapText="1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3" fontId="14" fillId="0" borderId="4" xfId="0" applyNumberFormat="1" applyFont="1" applyBorder="1"/>
    <xf numFmtId="3" fontId="13" fillId="0" borderId="4" xfId="0" applyNumberFormat="1" applyFont="1" applyBorder="1"/>
    <xf numFmtId="3" fontId="16" fillId="0" borderId="4" xfId="0" applyNumberFormat="1" applyFont="1" applyBorder="1"/>
    <xf numFmtId="0" fontId="14" fillId="0" borderId="0" xfId="0" applyFont="1" applyAlignment="1">
      <alignment wrapText="1"/>
    </xf>
    <xf numFmtId="3" fontId="37" fillId="0" borderId="0" xfId="0" applyNumberFormat="1" applyFont="1"/>
    <xf numFmtId="4" fontId="14" fillId="0" borderId="0" xfId="0" applyNumberFormat="1" applyFont="1"/>
    <xf numFmtId="4" fontId="13" fillId="0" borderId="0" xfId="0" applyNumberFormat="1" applyFont="1"/>
    <xf numFmtId="4" fontId="16" fillId="0" borderId="7" xfId="0" applyNumberFormat="1" applyFont="1" applyBorder="1"/>
    <xf numFmtId="4" fontId="15" fillId="0" borderId="7" xfId="0" applyNumberFormat="1" applyFont="1" applyBorder="1"/>
    <xf numFmtId="4" fontId="16" fillId="0" borderId="0" xfId="0" applyNumberFormat="1" applyFont="1"/>
    <xf numFmtId="4" fontId="7" fillId="0" borderId="0" xfId="0" applyNumberFormat="1" applyFont="1"/>
    <xf numFmtId="4" fontId="16" fillId="0" borderId="6" xfId="0" applyNumberFormat="1" applyFont="1" applyBorder="1"/>
    <xf numFmtId="3" fontId="23" fillId="10" borderId="14" xfId="0" applyNumberFormat="1" applyFont="1" applyFill="1" applyBorder="1" applyAlignment="1">
      <alignment horizontal="center" wrapText="1"/>
    </xf>
    <xf numFmtId="3" fontId="23" fillId="9" borderId="14" xfId="0" applyNumberFormat="1" applyFont="1" applyFill="1" applyBorder="1" applyAlignment="1">
      <alignment horizontal="center" wrapText="1"/>
    </xf>
    <xf numFmtId="3" fontId="23" fillId="11" borderId="14" xfId="0" applyNumberFormat="1" applyFont="1" applyFill="1" applyBorder="1" applyAlignment="1">
      <alignment horizontal="center" wrapText="1"/>
    </xf>
    <xf numFmtId="3" fontId="23" fillId="10" borderId="16" xfId="0" applyNumberFormat="1" applyFont="1" applyFill="1" applyBorder="1" applyAlignment="1">
      <alignment horizontal="center"/>
    </xf>
    <xf numFmtId="3" fontId="8" fillId="9" borderId="16" xfId="0" applyNumberFormat="1" applyFont="1" applyFill="1" applyBorder="1" applyAlignment="1">
      <alignment horizontal="center"/>
    </xf>
    <xf numFmtId="3" fontId="8" fillId="11" borderId="16" xfId="0" applyNumberFormat="1" applyFont="1" applyFill="1" applyBorder="1" applyAlignment="1">
      <alignment horizontal="center"/>
    </xf>
    <xf numFmtId="3" fontId="23" fillId="10" borderId="15" xfId="0" applyNumberFormat="1" applyFont="1" applyFill="1" applyBorder="1" applyAlignment="1">
      <alignment horizontal="center"/>
    </xf>
    <xf numFmtId="3" fontId="7" fillId="9" borderId="15" xfId="0" applyNumberFormat="1" applyFont="1" applyFill="1" applyBorder="1" applyAlignment="1">
      <alignment horizontal="center"/>
    </xf>
    <xf numFmtId="3" fontId="7" fillId="11" borderId="15" xfId="0" applyNumberFormat="1" applyFont="1" applyFill="1" applyBorder="1" applyAlignment="1">
      <alignment horizontal="center"/>
    </xf>
    <xf numFmtId="3" fontId="7" fillId="10" borderId="15" xfId="0" applyNumberFormat="1" applyFont="1" applyFill="1" applyBorder="1"/>
    <xf numFmtId="3" fontId="0" fillId="9" borderId="15" xfId="0" applyNumberFormat="1" applyFill="1" applyBorder="1"/>
    <xf numFmtId="3" fontId="7" fillId="11" borderId="19" xfId="0" applyNumberFormat="1" applyFont="1" applyFill="1" applyBorder="1"/>
    <xf numFmtId="3" fontId="38" fillId="12" borderId="11" xfId="0" applyNumberFormat="1" applyFont="1" applyFill="1" applyBorder="1"/>
    <xf numFmtId="3" fontId="7" fillId="9" borderId="15" xfId="0" applyNumberFormat="1" applyFont="1" applyFill="1" applyBorder="1"/>
    <xf numFmtId="3" fontId="7" fillId="11" borderId="12" xfId="0" applyNumberFormat="1" applyFont="1" applyFill="1" applyBorder="1"/>
    <xf numFmtId="3" fontId="7" fillId="11" borderId="15" xfId="0" applyNumberFormat="1" applyFont="1" applyFill="1" applyBorder="1"/>
    <xf numFmtId="0" fontId="32" fillId="0" borderId="0" xfId="0" applyFont="1"/>
    <xf numFmtId="0" fontId="39" fillId="0" borderId="0" xfId="0" applyFont="1"/>
    <xf numFmtId="3" fontId="39" fillId="0" borderId="0" xfId="5" applyNumberFormat="1" applyFont="1" applyFill="1" applyBorder="1"/>
    <xf numFmtId="3" fontId="39" fillId="6" borderId="12" xfId="5" applyNumberFormat="1" applyFont="1" applyFill="1" applyBorder="1"/>
    <xf numFmtId="3" fontId="39" fillId="0" borderId="12" xfId="5" applyNumberFormat="1" applyFont="1" applyFill="1" applyBorder="1"/>
    <xf numFmtId="3" fontId="39" fillId="9" borderId="12" xfId="5" applyNumberFormat="1" applyFont="1" applyFill="1" applyBorder="1"/>
    <xf numFmtId="0" fontId="40" fillId="0" borderId="0" xfId="0" applyFont="1"/>
    <xf numFmtId="0" fontId="33" fillId="0" borderId="0" xfId="0" applyFont="1"/>
    <xf numFmtId="3" fontId="39" fillId="10" borderId="15" xfId="5" applyNumberFormat="1" applyFont="1" applyFill="1" applyBorder="1"/>
    <xf numFmtId="3" fontId="39" fillId="9" borderId="15" xfId="5" applyNumberFormat="1" applyFont="1" applyFill="1" applyBorder="1"/>
    <xf numFmtId="3" fontId="39" fillId="11" borderId="15" xfId="5" applyNumberFormat="1" applyFont="1" applyFill="1" applyBorder="1"/>
    <xf numFmtId="3" fontId="32" fillId="12" borderId="11" xfId="0" applyNumberFormat="1" applyFont="1" applyFill="1" applyBorder="1"/>
    <xf numFmtId="3" fontId="32" fillId="11" borderId="12" xfId="0" applyNumberFormat="1" applyFont="1" applyFill="1" applyBorder="1"/>
    <xf numFmtId="3" fontId="32" fillId="6" borderId="12" xfId="5" applyNumberFormat="1" applyFont="1" applyFill="1" applyBorder="1"/>
    <xf numFmtId="3" fontId="32" fillId="0" borderId="12" xfId="5" applyNumberFormat="1" applyFont="1" applyFill="1" applyBorder="1"/>
    <xf numFmtId="3" fontId="32" fillId="9" borderId="12" xfId="5" applyNumberFormat="1" applyFont="1" applyFill="1" applyBorder="1"/>
    <xf numFmtId="0" fontId="8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2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3" fontId="44" fillId="0" borderId="0" xfId="5" applyNumberFormat="1" applyFont="1" applyFill="1" applyBorder="1"/>
    <xf numFmtId="0" fontId="45" fillId="0" borderId="0" xfId="0" applyFont="1"/>
    <xf numFmtId="0" fontId="43" fillId="0" borderId="0" xfId="0" applyFont="1"/>
    <xf numFmtId="0" fontId="10" fillId="0" borderId="0" xfId="0" applyFont="1"/>
    <xf numFmtId="3" fontId="21" fillId="0" borderId="0" xfId="0" applyNumberFormat="1" applyFont="1"/>
    <xf numFmtId="3" fontId="12" fillId="0" borderId="15" xfId="5" applyNumberFormat="1" applyFont="1" applyFill="1" applyBorder="1"/>
    <xf numFmtId="169" fontId="32" fillId="0" borderId="15" xfId="5" applyNumberFormat="1" applyFont="1" applyBorder="1"/>
    <xf numFmtId="169" fontId="27" fillId="0" borderId="15" xfId="5" applyNumberFormat="1" applyFont="1" applyBorder="1"/>
    <xf numFmtId="169" fontId="12" fillId="0" borderId="15" xfId="5" applyNumberFormat="1" applyFont="1" applyFill="1" applyBorder="1"/>
    <xf numFmtId="169" fontId="24" fillId="0" borderId="15" xfId="5" applyNumberFormat="1" applyFont="1" applyBorder="1"/>
    <xf numFmtId="169" fontId="8" fillId="0" borderId="17" xfId="5" applyNumberFormat="1" applyFont="1" applyFill="1" applyBorder="1"/>
    <xf numFmtId="169" fontId="24" fillId="0" borderId="15" xfId="5" applyNumberFormat="1" applyFont="1" applyBorder="1" applyAlignment="1">
      <alignment wrapText="1"/>
    </xf>
    <xf numFmtId="169" fontId="25" fillId="0" borderId="15" xfId="5" applyNumberFormat="1" applyFont="1" applyBorder="1" applyAlignment="1">
      <alignment wrapText="1"/>
    </xf>
    <xf numFmtId="0" fontId="32" fillId="0" borderId="15" xfId="0" applyFont="1" applyBorder="1" applyAlignment="1">
      <alignment wrapText="1"/>
    </xf>
    <xf numFmtId="3" fontId="23" fillId="0" borderId="17" xfId="0" applyNumberFormat="1" applyFont="1" applyBorder="1"/>
    <xf numFmtId="0" fontId="26" fillId="0" borderId="15" xfId="0" applyFont="1" applyBorder="1"/>
    <xf numFmtId="0" fontId="46" fillId="0" borderId="0" xfId="0" applyFont="1" applyAlignment="1">
      <alignment horizontal="center"/>
    </xf>
    <xf numFmtId="3" fontId="10" fillId="7" borderId="20" xfId="1" applyNumberFormat="1" applyFont="1" applyFill="1" applyBorder="1" applyAlignment="1">
      <alignment vertical="center" wrapText="1"/>
    </xf>
    <xf numFmtId="4" fontId="10" fillId="7" borderId="20" xfId="1" applyNumberFormat="1" applyFont="1" applyFill="1" applyBorder="1" applyAlignment="1" applyProtection="1">
      <alignment vertical="center" wrapText="1"/>
      <protection locked="0"/>
    </xf>
    <xf numFmtId="4" fontId="12" fillId="7" borderId="20" xfId="1" applyNumberFormat="1" applyFont="1" applyFill="1" applyBorder="1" applyAlignment="1">
      <alignment vertical="center" wrapText="1"/>
    </xf>
    <xf numFmtId="167" fontId="10" fillId="7" borderId="20" xfId="1" applyNumberFormat="1" applyFont="1" applyFill="1" applyBorder="1" applyAlignment="1" applyProtection="1">
      <alignment horizontal="right"/>
      <protection locked="0"/>
    </xf>
    <xf numFmtId="4" fontId="7" fillId="13" borderId="1" xfId="0" applyNumberFormat="1" applyFont="1" applyFill="1" applyBorder="1"/>
    <xf numFmtId="4" fontId="8" fillId="13" borderId="1" xfId="0" applyNumberFormat="1" applyFont="1" applyFill="1" applyBorder="1"/>
    <xf numFmtId="169" fontId="7" fillId="0" borderId="0" xfId="5" applyNumberFormat="1" applyFont="1"/>
    <xf numFmtId="170" fontId="16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">
    <cellStyle name="Comma" xfId="5" builtinId="3"/>
    <cellStyle name="Normal" xfId="0" builtinId="0"/>
    <cellStyle name="Normal 2" xfId="2" xr:uid="{00000000-0005-0000-0000-000002000000}"/>
    <cellStyle name="Normal 2 2" xfId="4" xr:uid="{00000000-0005-0000-0000-000003000000}"/>
    <cellStyle name="Normal 3" xfId="3" xr:uid="{00000000-0005-0000-0000-000004000000}"/>
    <cellStyle name="Normal 4" xfId="1" xr:uid="{00000000-0005-0000-0000-000005000000}"/>
  </cellStyles>
  <dxfs count="0"/>
  <tableStyles count="0" defaultTableStyle="TableStyleMedium2"/>
  <colors>
    <mruColors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40"/>
  <sheetViews>
    <sheetView tabSelected="1" view="pageLayout" topLeftCell="A3" zoomScale="70" zoomScaleNormal="90" zoomScalePageLayoutView="70" workbookViewId="0">
      <selection activeCell="F18" sqref="F18"/>
    </sheetView>
  </sheetViews>
  <sheetFormatPr defaultColWidth="8.7109375" defaultRowHeight="17.25"/>
  <cols>
    <col min="1" max="1" width="13.85546875" style="1" customWidth="1"/>
    <col min="2" max="2" width="4.140625" style="182" customWidth="1"/>
    <col min="3" max="3" width="50.140625" style="1" customWidth="1"/>
    <col min="4" max="4" width="15" style="1" customWidth="1"/>
    <col min="5" max="5" width="13" style="1" customWidth="1"/>
    <col min="6" max="6" width="12.85546875" style="1" customWidth="1"/>
    <col min="7" max="7" width="13.42578125" style="1" customWidth="1"/>
    <col min="8" max="8" width="13" style="1" customWidth="1"/>
    <col min="9" max="9" width="13.42578125" style="1" customWidth="1"/>
    <col min="10" max="10" width="13" style="1" customWidth="1"/>
    <col min="11" max="11" width="13.140625" style="1" customWidth="1"/>
    <col min="12" max="12" width="13" style="1" customWidth="1"/>
    <col min="13" max="13" width="48.140625" style="1" customWidth="1"/>
    <col min="14" max="14" width="15.28515625" style="1" customWidth="1"/>
    <col min="15" max="17" width="15.85546875" style="1" customWidth="1"/>
    <col min="18" max="16384" width="8.7109375" style="1"/>
  </cols>
  <sheetData>
    <row r="1" spans="1:17">
      <c r="F1" s="31"/>
      <c r="G1" s="31"/>
      <c r="H1" s="41"/>
      <c r="I1" s="6"/>
      <c r="L1" s="217"/>
      <c r="M1" s="218"/>
      <c r="N1" s="218"/>
      <c r="O1" s="31"/>
      <c r="P1" s="31"/>
      <c r="Q1" s="31"/>
    </row>
    <row r="2" spans="1:17" ht="51.75">
      <c r="E2" s="128"/>
      <c r="F2" s="71" t="s">
        <v>0</v>
      </c>
      <c r="G2" s="88" t="s">
        <v>90</v>
      </c>
      <c r="H2" s="71" t="s">
        <v>134</v>
      </c>
      <c r="I2" s="64" t="s">
        <v>88</v>
      </c>
      <c r="J2" s="71" t="s">
        <v>89</v>
      </c>
      <c r="K2" s="49" t="s">
        <v>1</v>
      </c>
      <c r="O2" s="150" t="s">
        <v>85</v>
      </c>
      <c r="P2" s="151" t="s">
        <v>85</v>
      </c>
      <c r="Q2" s="152" t="s">
        <v>85</v>
      </c>
    </row>
    <row r="3" spans="1:17">
      <c r="E3" s="129"/>
      <c r="F3" s="73" t="s">
        <v>69</v>
      </c>
      <c r="G3" s="89" t="s">
        <v>133</v>
      </c>
      <c r="H3" s="73" t="s">
        <v>79</v>
      </c>
      <c r="I3" s="74" t="s">
        <v>79</v>
      </c>
      <c r="J3" s="73" t="s">
        <v>79</v>
      </c>
      <c r="K3" s="49"/>
      <c r="O3" s="153" t="s">
        <v>83</v>
      </c>
      <c r="P3" s="154" t="s">
        <v>84</v>
      </c>
      <c r="Q3" s="155" t="s">
        <v>106</v>
      </c>
    </row>
    <row r="4" spans="1:17">
      <c r="B4" s="2"/>
      <c r="E4" s="129"/>
      <c r="F4" s="72" t="s">
        <v>3</v>
      </c>
      <c r="G4" s="90" t="s">
        <v>3</v>
      </c>
      <c r="H4" s="72" t="s">
        <v>3</v>
      </c>
      <c r="I4" s="65" t="s">
        <v>3</v>
      </c>
      <c r="J4" s="72" t="s">
        <v>3</v>
      </c>
      <c r="K4" s="191"/>
      <c r="O4" s="156" t="s">
        <v>3</v>
      </c>
      <c r="P4" s="157" t="s">
        <v>3</v>
      </c>
      <c r="Q4" s="158" t="s">
        <v>3</v>
      </c>
    </row>
    <row r="5" spans="1:17">
      <c r="A5" s="2" t="s">
        <v>31</v>
      </c>
      <c r="B5" s="182">
        <v>1</v>
      </c>
      <c r="C5" s="2" t="s">
        <v>68</v>
      </c>
      <c r="E5" s="130"/>
      <c r="F5" s="197">
        <f>SUM(F6:F9)</f>
        <v>338899</v>
      </c>
      <c r="G5" s="91">
        <f>SUM(G6:G9)</f>
        <v>325563.19999999995</v>
      </c>
      <c r="H5" s="76">
        <f>SUM(H6:H9)</f>
        <v>326512</v>
      </c>
      <c r="I5" s="66">
        <f t="shared" ref="I5:J5" si="0">SUM(I6:I9)</f>
        <v>328252</v>
      </c>
      <c r="J5" s="76">
        <f t="shared" si="0"/>
        <v>328252</v>
      </c>
      <c r="K5" s="192"/>
      <c r="O5" s="99">
        <f>SUM(O6:O9)</f>
        <v>330143</v>
      </c>
      <c r="P5" s="110">
        <f t="shared" ref="P5:Q5" si="1">SUM(P6:P9)</f>
        <v>330143</v>
      </c>
      <c r="Q5" s="117">
        <f t="shared" si="1"/>
        <v>330143</v>
      </c>
    </row>
    <row r="6" spans="1:17" s="173" customFormat="1" ht="18.75" customHeight="1">
      <c r="B6" s="183" t="s">
        <v>10</v>
      </c>
      <c r="C6" s="167" t="s">
        <v>33</v>
      </c>
      <c r="D6" s="166"/>
      <c r="E6" s="168"/>
      <c r="F6" s="198">
        <v>303634</v>
      </c>
      <c r="G6" s="171">
        <v>315502</v>
      </c>
      <c r="H6" s="170">
        <v>315502</v>
      </c>
      <c r="I6" s="169">
        <v>315502</v>
      </c>
      <c r="J6" s="170">
        <v>315502</v>
      </c>
      <c r="K6" s="192"/>
      <c r="O6" s="174">
        <v>317393</v>
      </c>
      <c r="P6" s="175">
        <v>317393</v>
      </c>
      <c r="Q6" s="176">
        <f>SUM(P6*1)</f>
        <v>317393</v>
      </c>
    </row>
    <row r="7" spans="1:17" s="173" customFormat="1" ht="18.75" customHeight="1">
      <c r="B7" s="183" t="s">
        <v>11</v>
      </c>
      <c r="C7" s="167" t="s">
        <v>32</v>
      </c>
      <c r="D7" s="166"/>
      <c r="E7" s="168"/>
      <c r="F7" s="198">
        <v>31044</v>
      </c>
      <c r="G7" s="171">
        <f>480+2303+685+598.6</f>
        <v>4066.6</v>
      </c>
      <c r="H7" s="170">
        <v>4400</v>
      </c>
      <c r="I7" s="169">
        <v>6000</v>
      </c>
      <c r="J7" s="170">
        <v>6000</v>
      </c>
      <c r="K7" s="193"/>
      <c r="O7" s="174">
        <v>6000</v>
      </c>
      <c r="P7" s="175">
        <v>6000</v>
      </c>
      <c r="Q7" s="176">
        <v>6000</v>
      </c>
    </row>
    <row r="8" spans="1:17" s="173" customFormat="1" ht="18.75" customHeight="1">
      <c r="B8" s="183" t="s">
        <v>12</v>
      </c>
      <c r="C8" s="167" t="s">
        <v>122</v>
      </c>
      <c r="D8" s="166"/>
      <c r="E8" s="168"/>
      <c r="F8" s="198">
        <v>0</v>
      </c>
      <c r="G8" s="171">
        <v>0</v>
      </c>
      <c r="H8" s="170">
        <v>0</v>
      </c>
      <c r="I8" s="169">
        <v>0</v>
      </c>
      <c r="J8" s="170">
        <v>0</v>
      </c>
      <c r="K8" s="193"/>
      <c r="O8" s="174">
        <v>0</v>
      </c>
      <c r="P8" s="175">
        <v>0</v>
      </c>
      <c r="Q8" s="176">
        <v>0</v>
      </c>
    </row>
    <row r="9" spans="1:17" s="173" customFormat="1" ht="18.75" customHeight="1">
      <c r="B9" s="183" t="s">
        <v>13</v>
      </c>
      <c r="C9" s="167" t="s">
        <v>87</v>
      </c>
      <c r="D9" s="166"/>
      <c r="E9" s="168"/>
      <c r="F9" s="198">
        <v>4221</v>
      </c>
      <c r="G9" s="171">
        <f>1730+4264.6</f>
        <v>5994.6</v>
      </c>
      <c r="H9" s="170">
        <v>6610</v>
      </c>
      <c r="I9" s="169">
        <v>6750</v>
      </c>
      <c r="J9" s="170">
        <v>6750</v>
      </c>
      <c r="K9" s="194"/>
      <c r="O9" s="174">
        <v>6750</v>
      </c>
      <c r="P9" s="175">
        <v>6750</v>
      </c>
      <c r="Q9" s="176">
        <v>6750</v>
      </c>
    </row>
    <row r="10" spans="1:17" s="2" customFormat="1" ht="18.75" customHeight="1">
      <c r="B10" s="184"/>
      <c r="C10" s="32"/>
      <c r="D10" s="1"/>
      <c r="E10" s="106"/>
      <c r="F10" s="199"/>
      <c r="G10" s="92"/>
      <c r="H10" s="77"/>
      <c r="I10" s="67"/>
      <c r="J10" s="77"/>
      <c r="K10" s="194"/>
      <c r="O10" s="100"/>
      <c r="P10" s="111"/>
      <c r="Q10" s="118"/>
    </row>
    <row r="11" spans="1:17" s="2" customFormat="1" ht="18.75" customHeight="1">
      <c r="B11" s="182">
        <v>2</v>
      </c>
      <c r="C11" s="2" t="s">
        <v>34</v>
      </c>
      <c r="D11" s="1"/>
      <c r="E11" s="130"/>
      <c r="F11" s="200">
        <f>SUM(F12:F21)</f>
        <v>72753</v>
      </c>
      <c r="G11" s="91">
        <f>SUM(G12:G21)</f>
        <v>76269.2</v>
      </c>
      <c r="H11" s="76">
        <f>SUM(H12:H21)</f>
        <v>96619.615999999995</v>
      </c>
      <c r="I11" s="66">
        <f>SUM(I12:I21)</f>
        <v>71621</v>
      </c>
      <c r="J11" s="76">
        <f>SUM(J12:J21)</f>
        <v>73271</v>
      </c>
      <c r="K11" s="192" t="s">
        <v>9</v>
      </c>
      <c r="O11" s="99">
        <f>SUM(O12:O21)</f>
        <v>107459</v>
      </c>
      <c r="P11" s="110">
        <f>SUM(P12:P21)</f>
        <v>107459</v>
      </c>
      <c r="Q11" s="117">
        <f>SUM(Q12:Q21)</f>
        <v>107271</v>
      </c>
    </row>
    <row r="12" spans="1:17" s="173" customFormat="1" ht="18.75" customHeight="1">
      <c r="A12" s="166"/>
      <c r="B12" s="183" t="s">
        <v>10</v>
      </c>
      <c r="C12" s="167" t="s">
        <v>123</v>
      </c>
      <c r="D12" s="166"/>
      <c r="E12" s="168"/>
      <c r="F12" s="198">
        <v>261</v>
      </c>
      <c r="G12" s="171">
        <v>0</v>
      </c>
      <c r="H12" s="170">
        <v>0</v>
      </c>
      <c r="I12" s="169">
        <v>0</v>
      </c>
      <c r="J12" s="170">
        <v>0</v>
      </c>
      <c r="K12" s="193"/>
      <c r="O12" s="174">
        <v>0</v>
      </c>
      <c r="P12" s="175">
        <v>0</v>
      </c>
      <c r="Q12" s="176">
        <v>0</v>
      </c>
    </row>
    <row r="13" spans="1:17" s="173" customFormat="1" ht="18.75" customHeight="1">
      <c r="A13" s="166"/>
      <c r="B13" s="183" t="s">
        <v>11</v>
      </c>
      <c r="C13" s="167" t="s">
        <v>72</v>
      </c>
      <c r="D13" s="166"/>
      <c r="E13" s="168"/>
      <c r="F13" s="198">
        <v>-3822</v>
      </c>
      <c r="G13" s="171">
        <v>0</v>
      </c>
      <c r="H13" s="170">
        <v>0</v>
      </c>
      <c r="I13" s="169">
        <v>0</v>
      </c>
      <c r="J13" s="170">
        <v>0</v>
      </c>
      <c r="K13" s="193"/>
      <c r="O13" s="174">
        <v>0</v>
      </c>
      <c r="P13" s="175">
        <v>0</v>
      </c>
      <c r="Q13" s="176">
        <v>0</v>
      </c>
    </row>
    <row r="14" spans="1:17" s="173" customFormat="1" ht="18.75" customHeight="1">
      <c r="A14" s="166"/>
      <c r="B14" s="183" t="s">
        <v>12</v>
      </c>
      <c r="C14" s="167" t="s">
        <v>77</v>
      </c>
      <c r="D14" s="166"/>
      <c r="E14" s="168"/>
      <c r="F14" s="198">
        <v>23500</v>
      </c>
      <c r="G14" s="171">
        <v>0</v>
      </c>
      <c r="H14" s="170">
        <v>0</v>
      </c>
      <c r="I14" s="169">
        <v>0</v>
      </c>
      <c r="J14" s="170">
        <v>0</v>
      </c>
      <c r="K14" s="193"/>
      <c r="O14" s="174">
        <v>0</v>
      </c>
      <c r="P14" s="175">
        <v>0</v>
      </c>
      <c r="Q14" s="176">
        <v>0</v>
      </c>
    </row>
    <row r="15" spans="1:17" s="173" customFormat="1" ht="18.75" customHeight="1">
      <c r="B15" s="183" t="s">
        <v>13</v>
      </c>
      <c r="C15" s="167" t="s">
        <v>25</v>
      </c>
      <c r="D15" s="166"/>
      <c r="E15" s="168"/>
      <c r="F15" s="198">
        <v>7577</v>
      </c>
      <c r="G15" s="171">
        <v>13409</v>
      </c>
      <c r="H15" s="170">
        <v>16400</v>
      </c>
      <c r="I15" s="169">
        <v>18264</v>
      </c>
      <c r="J15" s="170">
        <v>18264</v>
      </c>
      <c r="K15" s="193"/>
      <c r="O15" s="174">
        <v>18264</v>
      </c>
      <c r="P15" s="175">
        <v>18264</v>
      </c>
      <c r="Q15" s="176">
        <v>18264</v>
      </c>
    </row>
    <row r="16" spans="1:17" s="173" customFormat="1" ht="18.75" customHeight="1">
      <c r="A16" s="166"/>
      <c r="B16" s="183" t="s">
        <v>14</v>
      </c>
      <c r="C16" s="167" t="s">
        <v>26</v>
      </c>
      <c r="D16" s="166"/>
      <c r="E16" s="168"/>
      <c r="F16" s="198">
        <v>372</v>
      </c>
      <c r="G16" s="171">
        <v>1596</v>
      </c>
      <c r="H16" s="170">
        <f>G16+500</f>
        <v>2096</v>
      </c>
      <c r="I16" s="169">
        <v>0</v>
      </c>
      <c r="J16" s="170">
        <v>1650</v>
      </c>
      <c r="K16" s="193"/>
      <c r="O16" s="174">
        <v>1750</v>
      </c>
      <c r="P16" s="175">
        <v>1750</v>
      </c>
      <c r="Q16" s="176">
        <v>1750</v>
      </c>
    </row>
    <row r="17" spans="1:17" s="173" customFormat="1" ht="18.75" customHeight="1">
      <c r="B17" s="183" t="s">
        <v>15</v>
      </c>
      <c r="C17" s="167" t="s">
        <v>35</v>
      </c>
      <c r="D17" s="166"/>
      <c r="E17" s="168"/>
      <c r="F17" s="198">
        <v>10189</v>
      </c>
      <c r="G17" s="171">
        <v>10269</v>
      </c>
      <c r="H17" s="170">
        <v>10300</v>
      </c>
      <c r="I17" s="169">
        <v>11412</v>
      </c>
      <c r="J17" s="170">
        <v>11412</v>
      </c>
      <c r="K17" s="193"/>
      <c r="O17" s="174">
        <v>11500</v>
      </c>
      <c r="P17" s="175">
        <v>11500</v>
      </c>
      <c r="Q17" s="176">
        <v>11500</v>
      </c>
    </row>
    <row r="18" spans="1:17" s="173" customFormat="1" ht="18.75" customHeight="1">
      <c r="A18" s="166"/>
      <c r="B18" s="183" t="s">
        <v>16</v>
      </c>
      <c r="C18" s="167" t="s">
        <v>36</v>
      </c>
      <c r="D18" s="166"/>
      <c r="E18" s="168"/>
      <c r="F18" s="198">
        <v>23932</v>
      </c>
      <c r="G18" s="171">
        <f>23874+290+287+3848+1207.6</f>
        <v>29506.6</v>
      </c>
      <c r="H18" s="170">
        <f>G18*1.33</f>
        <v>39243.777999999998</v>
      </c>
      <c r="I18" s="169">
        <v>41757</v>
      </c>
      <c r="J18" s="170">
        <v>39257</v>
      </c>
      <c r="K18" s="193" t="s">
        <v>119</v>
      </c>
      <c r="O18" s="174">
        <f>SUM(41757+7000)</f>
        <v>48757</v>
      </c>
      <c r="P18" s="175">
        <f t="shared" ref="P18:Q18" si="2">SUM(41757+7000)</f>
        <v>48757</v>
      </c>
      <c r="Q18" s="176">
        <f t="shared" si="2"/>
        <v>48757</v>
      </c>
    </row>
    <row r="19" spans="1:17" s="173" customFormat="1" ht="18.75" customHeight="1">
      <c r="A19" s="166"/>
      <c r="B19" s="183" t="s">
        <v>17</v>
      </c>
      <c r="C19" s="167" t="s">
        <v>91</v>
      </c>
      <c r="D19" s="166"/>
      <c r="E19" s="168"/>
      <c r="F19" s="198"/>
      <c r="G19" s="171">
        <v>21488.6</v>
      </c>
      <c r="H19" s="170">
        <f>G19*1.33</f>
        <v>28579.838</v>
      </c>
      <c r="I19" s="169"/>
      <c r="J19" s="170">
        <v>2500</v>
      </c>
      <c r="K19" s="193" t="s">
        <v>108</v>
      </c>
      <c r="O19" s="174">
        <v>27000</v>
      </c>
      <c r="P19" s="175">
        <v>27000</v>
      </c>
      <c r="Q19" s="176">
        <v>27000</v>
      </c>
    </row>
    <row r="20" spans="1:17" s="173" customFormat="1" ht="18.75" customHeight="1">
      <c r="A20" s="166"/>
      <c r="B20" s="183" t="s">
        <v>76</v>
      </c>
      <c r="C20" s="167" t="s">
        <v>37</v>
      </c>
      <c r="D20" s="166"/>
      <c r="E20" s="168"/>
      <c r="F20" s="198">
        <v>188</v>
      </c>
      <c r="G20" s="171">
        <v>0</v>
      </c>
      <c r="H20" s="170">
        <v>0</v>
      </c>
      <c r="I20" s="169">
        <v>188</v>
      </c>
      <c r="J20" s="170">
        <v>188</v>
      </c>
      <c r="K20" s="193"/>
      <c r="O20" s="174">
        <v>188</v>
      </c>
      <c r="P20" s="175">
        <v>188</v>
      </c>
      <c r="Q20" s="176">
        <v>0</v>
      </c>
    </row>
    <row r="21" spans="1:17" s="173" customFormat="1" ht="18.75" customHeight="1">
      <c r="A21" s="166"/>
      <c r="B21" s="183" t="s">
        <v>92</v>
      </c>
      <c r="C21" s="167" t="s">
        <v>74</v>
      </c>
      <c r="D21" s="166"/>
      <c r="E21" s="168"/>
      <c r="F21" s="198">
        <v>10556</v>
      </c>
      <c r="G21" s="171">
        <v>0</v>
      </c>
      <c r="H21" s="170">
        <v>0</v>
      </c>
      <c r="I21" s="169">
        <v>0</v>
      </c>
      <c r="J21" s="170">
        <v>0</v>
      </c>
      <c r="K21" s="193"/>
      <c r="O21" s="174">
        <v>0</v>
      </c>
      <c r="P21" s="175">
        <v>0</v>
      </c>
      <c r="Q21" s="176">
        <v>0</v>
      </c>
    </row>
    <row r="22" spans="1:17" ht="18.75" customHeight="1">
      <c r="C22" s="2"/>
      <c r="E22" s="131"/>
      <c r="F22" s="201"/>
      <c r="G22" s="93"/>
      <c r="H22" s="78"/>
      <c r="I22" s="68"/>
      <c r="J22" s="78"/>
      <c r="K22" s="194"/>
      <c r="O22" s="101"/>
      <c r="P22" s="112"/>
      <c r="Q22" s="119"/>
    </row>
    <row r="23" spans="1:17" ht="18.75" customHeight="1" thickBot="1">
      <c r="B23" s="182">
        <v>3</v>
      </c>
      <c r="C23" s="2" t="s">
        <v>38</v>
      </c>
      <c r="E23" s="55"/>
      <c r="F23" s="202">
        <f>F5+F11</f>
        <v>411652</v>
      </c>
      <c r="G23" s="94">
        <f>G5+G11</f>
        <v>401832.39999999997</v>
      </c>
      <c r="H23" s="79">
        <f>H5+H11</f>
        <v>423131.61599999998</v>
      </c>
      <c r="I23" s="75">
        <f>I5+I11</f>
        <v>399873</v>
      </c>
      <c r="J23" s="79">
        <f>J5+J11</f>
        <v>401523</v>
      </c>
      <c r="K23" s="192"/>
      <c r="O23" s="102">
        <f>O5+O11</f>
        <v>437602</v>
      </c>
      <c r="P23" s="113">
        <f>P5+P11</f>
        <v>437602</v>
      </c>
      <c r="Q23" s="125">
        <f>Q5+Q11</f>
        <v>437414</v>
      </c>
    </row>
    <row r="24" spans="1:17" ht="22.35" customHeight="1" thickTop="1">
      <c r="E24" s="129"/>
      <c r="F24" s="203"/>
      <c r="G24" s="95"/>
      <c r="H24" s="80"/>
      <c r="I24" s="65"/>
      <c r="J24" s="80"/>
      <c r="K24" s="193"/>
      <c r="O24" s="159"/>
      <c r="P24" s="160"/>
      <c r="Q24" s="161"/>
    </row>
    <row r="25" spans="1:17" ht="18.75" customHeight="1">
      <c r="A25" s="2" t="s">
        <v>2</v>
      </c>
      <c r="B25" s="182">
        <v>4</v>
      </c>
      <c r="C25" s="2" t="s">
        <v>70</v>
      </c>
      <c r="E25" s="130"/>
      <c r="F25" s="200">
        <f t="shared" ref="F25:J25" si="3">SUM(F26:F29)</f>
        <v>132533</v>
      </c>
      <c r="G25" s="91">
        <f>SUM(G26:G29)</f>
        <v>121948</v>
      </c>
      <c r="H25" s="76">
        <f>SUM(H26:H29)</f>
        <v>166160.01</v>
      </c>
      <c r="I25" s="66">
        <f t="shared" si="3"/>
        <v>156301</v>
      </c>
      <c r="J25" s="76">
        <f t="shared" si="3"/>
        <v>167509</v>
      </c>
      <c r="K25" s="192" t="s">
        <v>9</v>
      </c>
      <c r="O25" s="99">
        <f>SUM(O26:O29)</f>
        <v>182377.26</v>
      </c>
      <c r="P25" s="110">
        <f>SUM(P26:P29)</f>
        <v>186690.79560000001</v>
      </c>
      <c r="Q25" s="117">
        <f>SUM(Q26:Q29)</f>
        <v>191101.98242400002</v>
      </c>
    </row>
    <row r="26" spans="1:17" s="166" customFormat="1" ht="18.75" customHeight="1">
      <c r="B26" s="183" t="s">
        <v>10</v>
      </c>
      <c r="C26" s="167" t="s">
        <v>5</v>
      </c>
      <c r="E26" s="168"/>
      <c r="F26" s="198">
        <v>103595</v>
      </c>
      <c r="G26" s="171">
        <v>94042</v>
      </c>
      <c r="H26" s="170">
        <f>G26*1.33+500</f>
        <v>125575.86</v>
      </c>
      <c r="I26" s="169">
        <v>117341</v>
      </c>
      <c r="J26" s="170">
        <v>125341</v>
      </c>
      <c r="K26" s="193" t="s">
        <v>117</v>
      </c>
      <c r="O26" s="103">
        <f>SUM(J26+8284+436)*(1+$O$70)</f>
        <v>136742.22</v>
      </c>
      <c r="P26" s="115">
        <f>SUM(O26+432)*(1+$P$70)</f>
        <v>139917.70440000002</v>
      </c>
      <c r="Q26" s="122">
        <f>SUM(P26+432)*(1+$Q$70)</f>
        <v>143156.69848800002</v>
      </c>
    </row>
    <row r="27" spans="1:17" s="166" customFormat="1" ht="18.75" customHeight="1">
      <c r="B27" s="183" t="s">
        <v>11</v>
      </c>
      <c r="C27" s="167" t="s">
        <v>6</v>
      </c>
      <c r="E27" s="168"/>
      <c r="F27" s="198">
        <v>20510</v>
      </c>
      <c r="G27" s="171">
        <f>20861-2196</f>
        <v>18665</v>
      </c>
      <c r="H27" s="170">
        <f>(G27*1.33)+1400</f>
        <v>26224.45</v>
      </c>
      <c r="I27" s="169">
        <v>27040</v>
      </c>
      <c r="J27" s="170">
        <v>27040</v>
      </c>
      <c r="K27" s="193"/>
      <c r="O27" s="103">
        <f>(J27*(1+$O$71))</f>
        <v>28121.600000000002</v>
      </c>
      <c r="P27" s="115">
        <f>(O27*(1+$P$71))</f>
        <v>28965.248000000003</v>
      </c>
      <c r="Q27" s="122">
        <f>(P27*(1+$Q$71))</f>
        <v>29834.205440000005</v>
      </c>
    </row>
    <row r="28" spans="1:17" s="166" customFormat="1" ht="18.75" customHeight="1">
      <c r="B28" s="183" t="s">
        <v>12</v>
      </c>
      <c r="C28" s="167" t="s">
        <v>93</v>
      </c>
      <c r="E28" s="168"/>
      <c r="F28" s="198">
        <v>4676</v>
      </c>
      <c r="G28" s="171">
        <f>9241-2272</f>
        <v>6969</v>
      </c>
      <c r="H28" s="170">
        <f>G28*1.3</f>
        <v>9059.7000000000007</v>
      </c>
      <c r="I28" s="169">
        <v>6228</v>
      </c>
      <c r="J28" s="170">
        <v>9436</v>
      </c>
      <c r="K28" s="193" t="s">
        <v>135</v>
      </c>
      <c r="O28" s="103">
        <f>(J28*(1+$O$71))</f>
        <v>9813.44</v>
      </c>
      <c r="P28" s="115">
        <f>(O28*(1+$P$71))</f>
        <v>10107.843200000001</v>
      </c>
      <c r="Q28" s="122">
        <f>(P28*(1+$Q$71))</f>
        <v>10411.078496000002</v>
      </c>
    </row>
    <row r="29" spans="1:17" s="166" customFormat="1">
      <c r="B29" s="185" t="s">
        <v>13</v>
      </c>
      <c r="C29" s="167" t="s">
        <v>94</v>
      </c>
      <c r="F29" s="198">
        <v>3752</v>
      </c>
      <c r="G29" s="171">
        <v>2272</v>
      </c>
      <c r="H29" s="170">
        <v>5300</v>
      </c>
      <c r="I29" s="169">
        <v>5692</v>
      </c>
      <c r="J29" s="170">
        <v>5692</v>
      </c>
      <c r="K29" s="195"/>
      <c r="O29" s="177">
        <v>7700</v>
      </c>
      <c r="P29" s="115">
        <v>7700</v>
      </c>
      <c r="Q29" s="178">
        <v>7700</v>
      </c>
    </row>
    <row r="30" spans="1:17">
      <c r="C30" s="32"/>
      <c r="F30" s="199"/>
      <c r="G30" s="92"/>
      <c r="H30" s="77"/>
      <c r="I30" s="67"/>
      <c r="J30" s="77"/>
      <c r="K30" s="195"/>
      <c r="O30" s="162"/>
      <c r="P30" s="163"/>
      <c r="Q30" s="164"/>
    </row>
    <row r="31" spans="1:17" ht="18.75" customHeight="1">
      <c r="B31" s="182">
        <v>5</v>
      </c>
      <c r="C31" s="2" t="s">
        <v>71</v>
      </c>
      <c r="E31" s="130"/>
      <c r="F31" s="200">
        <f>SUM(F32:F36)</f>
        <v>140664</v>
      </c>
      <c r="G31" s="133">
        <f>SUM(G32:G36)</f>
        <v>4196</v>
      </c>
      <c r="H31" s="127">
        <f>SUM(H32:H36)</f>
        <v>6920.68</v>
      </c>
      <c r="I31" s="134">
        <f t="shared" ref="I31:J31" si="4">SUM(I32:I36)</f>
        <v>13160</v>
      </c>
      <c r="J31" s="127">
        <f t="shared" si="4"/>
        <v>14000</v>
      </c>
      <c r="K31" s="192" t="s">
        <v>9</v>
      </c>
      <c r="O31" s="99">
        <f>SUM(O32:O35)</f>
        <v>9285</v>
      </c>
      <c r="P31" s="110">
        <f>SUM(P32:P35)</f>
        <v>14356</v>
      </c>
      <c r="Q31" s="117">
        <f>SUM(Q32:Q35)</f>
        <v>14516.68</v>
      </c>
    </row>
    <row r="32" spans="1:17" s="166" customFormat="1" ht="18.75" customHeight="1">
      <c r="B32" s="183" t="s">
        <v>10</v>
      </c>
      <c r="C32" s="167" t="s">
        <v>18</v>
      </c>
      <c r="E32" s="168"/>
      <c r="F32" s="198">
        <v>4000</v>
      </c>
      <c r="G32" s="171">
        <v>2000</v>
      </c>
      <c r="H32" s="170">
        <v>4000</v>
      </c>
      <c r="I32" s="169">
        <v>4000</v>
      </c>
      <c r="J32" s="170">
        <v>4000</v>
      </c>
      <c r="K32" s="193"/>
      <c r="O32" s="103">
        <v>4000</v>
      </c>
      <c r="P32" s="115">
        <v>4000</v>
      </c>
      <c r="Q32" s="122">
        <v>4000</v>
      </c>
    </row>
    <row r="33" spans="2:20" s="166" customFormat="1" ht="18.75" customHeight="1">
      <c r="B33" s="183" t="s">
        <v>11</v>
      </c>
      <c r="C33" s="167" t="s">
        <v>7</v>
      </c>
      <c r="E33" s="168"/>
      <c r="F33" s="198">
        <v>0</v>
      </c>
      <c r="G33" s="171">
        <v>0</v>
      </c>
      <c r="H33" s="170">
        <v>0</v>
      </c>
      <c r="I33" s="169">
        <v>0</v>
      </c>
      <c r="J33" s="170">
        <v>0</v>
      </c>
      <c r="K33" s="193"/>
      <c r="O33" s="103">
        <v>0</v>
      </c>
      <c r="P33" s="115">
        <v>0</v>
      </c>
      <c r="Q33" s="122">
        <v>0</v>
      </c>
      <c r="T33" s="168"/>
    </row>
    <row r="34" spans="2:20" s="166" customFormat="1" ht="18.75" customHeight="1">
      <c r="B34" s="183" t="s">
        <v>12</v>
      </c>
      <c r="C34" s="167" t="s">
        <v>19</v>
      </c>
      <c r="E34" s="168"/>
      <c r="F34" s="198">
        <v>210</v>
      </c>
      <c r="G34" s="171">
        <v>0</v>
      </c>
      <c r="H34" s="170">
        <v>0</v>
      </c>
      <c r="I34" s="169">
        <v>5000</v>
      </c>
      <c r="J34" s="170">
        <v>5000</v>
      </c>
      <c r="K34" s="193" t="s">
        <v>109</v>
      </c>
      <c r="O34" s="103">
        <v>85</v>
      </c>
      <c r="P34" s="115">
        <v>5000</v>
      </c>
      <c r="Q34" s="122">
        <v>5000</v>
      </c>
    </row>
    <row r="35" spans="2:20" s="166" customFormat="1" ht="18.75" customHeight="1">
      <c r="B35" s="183" t="s">
        <v>13</v>
      </c>
      <c r="C35" s="167" t="s">
        <v>86</v>
      </c>
      <c r="E35" s="168"/>
      <c r="F35" s="198">
        <v>1031</v>
      </c>
      <c r="G35" s="171">
        <v>2196</v>
      </c>
      <c r="H35" s="170">
        <f>G35*1.33</f>
        <v>2920.6800000000003</v>
      </c>
      <c r="I35" s="169">
        <v>4160</v>
      </c>
      <c r="J35" s="170">
        <v>5000</v>
      </c>
      <c r="K35" s="193" t="s">
        <v>110</v>
      </c>
      <c r="O35" s="103">
        <f>(J35*(1+$O$71))</f>
        <v>5200</v>
      </c>
      <c r="P35" s="115">
        <f>(O35*(1+$P$71))</f>
        <v>5356</v>
      </c>
      <c r="Q35" s="122">
        <f>(P35*(1+$Q$71))</f>
        <v>5516.68</v>
      </c>
    </row>
    <row r="36" spans="2:20" s="166" customFormat="1" ht="18.75" customHeight="1">
      <c r="B36" s="183" t="s">
        <v>14</v>
      </c>
      <c r="C36" s="167" t="s">
        <v>95</v>
      </c>
      <c r="E36" s="168"/>
      <c r="F36" s="198">
        <v>135423</v>
      </c>
      <c r="G36" s="171">
        <v>0</v>
      </c>
      <c r="H36" s="170">
        <v>0</v>
      </c>
      <c r="I36" s="169">
        <v>0</v>
      </c>
      <c r="J36" s="170">
        <v>0</v>
      </c>
      <c r="K36" s="193" t="s">
        <v>111</v>
      </c>
      <c r="O36" s="103">
        <v>0</v>
      </c>
      <c r="P36" s="115">
        <v>0</v>
      </c>
      <c r="Q36" s="122">
        <v>0</v>
      </c>
    </row>
    <row r="37" spans="2:20" ht="18.75" customHeight="1">
      <c r="E37" s="131"/>
      <c r="F37" s="204"/>
      <c r="G37" s="93"/>
      <c r="H37" s="78"/>
      <c r="I37" s="68"/>
      <c r="J37" s="78"/>
      <c r="K37" s="193"/>
      <c r="O37" s="159"/>
      <c r="P37" s="163"/>
      <c r="Q37" s="165"/>
    </row>
    <row r="38" spans="2:20" ht="18.75" customHeight="1">
      <c r="B38" s="182">
        <v>6</v>
      </c>
      <c r="C38" s="2" t="s">
        <v>8</v>
      </c>
      <c r="E38" s="55"/>
      <c r="F38" s="200">
        <f>SUM(F39:F41)</f>
        <v>42672</v>
      </c>
      <c r="G38" s="96">
        <f>SUM(G39:G41)</f>
        <v>97769</v>
      </c>
      <c r="H38" s="81">
        <f>SUM(H39:H41)</f>
        <v>102769</v>
      </c>
      <c r="I38" s="69">
        <f>SUM(I39:I41)</f>
        <v>65400</v>
      </c>
      <c r="J38" s="81">
        <f>SUM(J39:J41)</f>
        <v>82400</v>
      </c>
      <c r="K38" s="192" t="s">
        <v>9</v>
      </c>
      <c r="O38" s="104">
        <f>SUM(O39:O41)</f>
        <v>74750</v>
      </c>
      <c r="P38" s="114">
        <f>SUM(P39:P41)</f>
        <v>74750</v>
      </c>
      <c r="Q38" s="121">
        <f>SUM(Q39:Q41)</f>
        <v>84750</v>
      </c>
    </row>
    <row r="39" spans="2:20" s="166" customFormat="1" ht="18.75" customHeight="1">
      <c r="B39" s="183" t="s">
        <v>10</v>
      </c>
      <c r="C39" s="167" t="s">
        <v>96</v>
      </c>
      <c r="E39" s="168"/>
      <c r="F39" s="198">
        <v>34632</v>
      </c>
      <c r="G39" s="171">
        <v>49245</v>
      </c>
      <c r="H39" s="170">
        <f>49245+3000</f>
        <v>52245</v>
      </c>
      <c r="I39" s="169">
        <v>42900</v>
      </c>
      <c r="J39" s="170">
        <v>52900</v>
      </c>
      <c r="K39" s="193" t="s">
        <v>112</v>
      </c>
      <c r="O39" s="103">
        <v>50000</v>
      </c>
      <c r="P39" s="115">
        <v>50000</v>
      </c>
      <c r="Q39" s="122">
        <v>60000</v>
      </c>
    </row>
    <row r="40" spans="2:20" s="166" customFormat="1" ht="18.75" customHeight="1">
      <c r="B40" s="183" t="s">
        <v>11</v>
      </c>
      <c r="C40" s="167" t="s">
        <v>97</v>
      </c>
      <c r="E40" s="168"/>
      <c r="F40" s="198">
        <v>8040</v>
      </c>
      <c r="G40" s="171">
        <f>1074+10019+5167+1949+986</f>
        <v>19195</v>
      </c>
      <c r="H40" s="170">
        <f>G40+2000</f>
        <v>21195</v>
      </c>
      <c r="I40" s="169">
        <v>22500</v>
      </c>
      <c r="J40" s="170">
        <v>24500</v>
      </c>
      <c r="K40" s="193" t="s">
        <v>121</v>
      </c>
      <c r="O40" s="103">
        <f>SUM(22500*1.1)</f>
        <v>24750.000000000004</v>
      </c>
      <c r="P40" s="115">
        <f>SUM(O40)</f>
        <v>24750.000000000004</v>
      </c>
      <c r="Q40" s="122">
        <f>SUM(P40)</f>
        <v>24750.000000000004</v>
      </c>
    </row>
    <row r="41" spans="2:20" s="166" customFormat="1" ht="18.75" customHeight="1">
      <c r="B41" s="183" t="s">
        <v>12</v>
      </c>
      <c r="C41" s="167" t="s">
        <v>98</v>
      </c>
      <c r="E41" s="168"/>
      <c r="F41" s="198">
        <v>0</v>
      </c>
      <c r="G41" s="171">
        <v>29329</v>
      </c>
      <c r="H41" s="170">
        <v>29329</v>
      </c>
      <c r="I41" s="169">
        <v>0</v>
      </c>
      <c r="J41" s="170">
        <v>5000</v>
      </c>
      <c r="K41" s="193" t="s">
        <v>113</v>
      </c>
      <c r="O41" s="103">
        <v>0</v>
      </c>
      <c r="P41" s="115">
        <v>0</v>
      </c>
      <c r="Q41" s="122">
        <v>0</v>
      </c>
    </row>
    <row r="42" spans="2:20" ht="18.75" customHeight="1">
      <c r="B42" s="184"/>
      <c r="C42" s="32"/>
      <c r="E42" s="106"/>
      <c r="F42" s="199"/>
      <c r="G42" s="92"/>
      <c r="H42" s="77"/>
      <c r="I42" s="67"/>
      <c r="J42" s="77"/>
      <c r="K42" s="193"/>
      <c r="O42" s="159"/>
      <c r="P42" s="163"/>
      <c r="Q42" s="165"/>
    </row>
    <row r="43" spans="2:20" ht="18.75" customHeight="1">
      <c r="B43" s="182">
        <v>7</v>
      </c>
      <c r="C43" s="2" t="s">
        <v>20</v>
      </c>
      <c r="E43" s="55"/>
      <c r="F43" s="200">
        <f>SUM(F44:F49)</f>
        <v>117132</v>
      </c>
      <c r="G43" s="133">
        <f>SUM(G44:G49)</f>
        <v>98302.399999999994</v>
      </c>
      <c r="H43" s="127">
        <f>SUM(H44:H49)</f>
        <v>136175.58199999999</v>
      </c>
      <c r="I43" s="134">
        <f t="shared" ref="I43:J43" si="5">SUM(I44:I49)</f>
        <v>135489</v>
      </c>
      <c r="J43" s="127">
        <f t="shared" si="5"/>
        <v>146887</v>
      </c>
      <c r="K43" s="192" t="s">
        <v>9</v>
      </c>
      <c r="O43" s="104">
        <f>SUM(O44:O49)</f>
        <v>159777.04</v>
      </c>
      <c r="P43" s="114">
        <f>SUM(P44:P49)</f>
        <v>162886.37120000002</v>
      </c>
      <c r="Q43" s="121">
        <f>SUM(Q44:Q49)</f>
        <v>166069.22273600003</v>
      </c>
    </row>
    <row r="44" spans="2:20" s="166" customFormat="1" ht="18.75" customHeight="1">
      <c r="B44" s="183" t="s">
        <v>10</v>
      </c>
      <c r="C44" s="167" t="s">
        <v>5</v>
      </c>
      <c r="E44" s="168"/>
      <c r="F44" s="198">
        <v>75721</v>
      </c>
      <c r="G44" s="171">
        <f>70233.4-7542</f>
        <v>62691.399999999994</v>
      </c>
      <c r="H44" s="170">
        <f>G44*1.33</f>
        <v>83379.561999999991</v>
      </c>
      <c r="I44" s="169">
        <v>76710</v>
      </c>
      <c r="J44" s="170">
        <v>84900</v>
      </c>
      <c r="K44" s="193" t="s">
        <v>120</v>
      </c>
      <c r="O44" s="103">
        <f>SUM(J44*(1+$O$70))</f>
        <v>86598</v>
      </c>
      <c r="P44" s="115">
        <f>SUM(O44*(1+$P$70))</f>
        <v>88329.96</v>
      </c>
      <c r="Q44" s="122">
        <f>SUM(P44*(1+$Q$70))</f>
        <v>90096.559200000003</v>
      </c>
    </row>
    <row r="45" spans="2:20" s="166" customFormat="1" ht="18.75" customHeight="1">
      <c r="B45" s="183" t="s">
        <v>11</v>
      </c>
      <c r="C45" s="167" t="s">
        <v>21</v>
      </c>
      <c r="E45" s="168"/>
      <c r="F45" s="198">
        <v>4722</v>
      </c>
      <c r="G45" s="171">
        <v>7542</v>
      </c>
      <c r="H45" s="170">
        <f>G45*1.33</f>
        <v>10030.86</v>
      </c>
      <c r="I45" s="169">
        <v>12141</v>
      </c>
      <c r="J45" s="170">
        <v>12141</v>
      </c>
      <c r="K45" s="193" t="s">
        <v>114</v>
      </c>
      <c r="O45" s="103">
        <v>12200</v>
      </c>
      <c r="P45" s="115">
        <f>SUM(O45*1.02)</f>
        <v>12444</v>
      </c>
      <c r="Q45" s="122">
        <f>SUM(P45*1.02)</f>
        <v>12692.880000000001</v>
      </c>
    </row>
    <row r="46" spans="2:20" s="166" customFormat="1" ht="18.75" customHeight="1">
      <c r="B46" s="183" t="s">
        <v>12</v>
      </c>
      <c r="C46" s="167" t="s">
        <v>22</v>
      </c>
      <c r="E46" s="168"/>
      <c r="F46" s="198">
        <v>3458</v>
      </c>
      <c r="G46" s="171">
        <v>2941</v>
      </c>
      <c r="H46" s="170">
        <f>G46*1.33</f>
        <v>3911.53</v>
      </c>
      <c r="I46" s="169">
        <v>4908</v>
      </c>
      <c r="J46" s="170">
        <v>4908</v>
      </c>
      <c r="K46" s="193"/>
      <c r="O46" s="103">
        <f>(J46*(1+$O$71))</f>
        <v>5104.3200000000006</v>
      </c>
      <c r="P46" s="115">
        <f>(O46*(1+$P$71))</f>
        <v>5257.4496000000008</v>
      </c>
      <c r="Q46" s="122">
        <f>(P46*(1+$Q$71))</f>
        <v>5415.1730880000014</v>
      </c>
    </row>
    <row r="47" spans="2:20" s="166" customFormat="1" ht="18.75" customHeight="1">
      <c r="B47" s="183" t="s">
        <v>13</v>
      </c>
      <c r="C47" s="167" t="s">
        <v>99</v>
      </c>
      <c r="E47" s="168"/>
      <c r="F47" s="198">
        <v>21238</v>
      </c>
      <c r="G47" s="171">
        <f>25128-6817</f>
        <v>18311</v>
      </c>
      <c r="H47" s="170">
        <f>G47*1.33</f>
        <v>24353.63</v>
      </c>
      <c r="I47" s="169">
        <v>28210</v>
      </c>
      <c r="J47" s="170">
        <v>31418</v>
      </c>
      <c r="K47" s="193" t="s">
        <v>135</v>
      </c>
      <c r="O47" s="103">
        <f>(J47*(1+$O$71))</f>
        <v>32674.720000000001</v>
      </c>
      <c r="P47" s="115">
        <f>(O47*(1+$P$71))</f>
        <v>33654.961600000002</v>
      </c>
      <c r="Q47" s="122">
        <f>(P47*(1+$Q$71))</f>
        <v>34664.610448000007</v>
      </c>
    </row>
    <row r="48" spans="2:20" s="166" customFormat="1" ht="18.75" customHeight="1">
      <c r="B48" s="183" t="s">
        <v>14</v>
      </c>
      <c r="C48" s="167" t="s">
        <v>94</v>
      </c>
      <c r="E48" s="168"/>
      <c r="F48" s="198">
        <v>11257</v>
      </c>
      <c r="G48" s="171">
        <v>6817</v>
      </c>
      <c r="H48" s="170">
        <v>14500</v>
      </c>
      <c r="I48" s="169">
        <v>13520</v>
      </c>
      <c r="J48" s="170">
        <v>13520</v>
      </c>
      <c r="K48" s="193"/>
      <c r="O48" s="103">
        <v>23200</v>
      </c>
      <c r="P48" s="115">
        <v>23200</v>
      </c>
      <c r="Q48" s="122">
        <v>23200</v>
      </c>
    </row>
    <row r="49" spans="1:17" s="166" customFormat="1" ht="18.75" customHeight="1">
      <c r="B49" s="183" t="s">
        <v>14</v>
      </c>
      <c r="C49" s="167" t="s">
        <v>23</v>
      </c>
      <c r="E49" s="168"/>
      <c r="F49" s="198">
        <v>736</v>
      </c>
      <c r="G49" s="171">
        <v>0</v>
      </c>
      <c r="H49" s="170">
        <v>0</v>
      </c>
      <c r="I49" s="169">
        <v>0</v>
      </c>
      <c r="J49" s="170">
        <v>0</v>
      </c>
      <c r="K49" s="193"/>
      <c r="O49" s="103">
        <v>0</v>
      </c>
      <c r="P49" s="115">
        <v>0</v>
      </c>
      <c r="Q49" s="122">
        <v>0</v>
      </c>
    </row>
    <row r="50" spans="1:17" ht="18.75" customHeight="1">
      <c r="B50" s="184"/>
      <c r="C50" s="32"/>
      <c r="E50" s="106"/>
      <c r="F50" s="199"/>
      <c r="G50" s="92"/>
      <c r="H50" s="77"/>
      <c r="I50" s="67"/>
      <c r="J50" s="77"/>
      <c r="K50" s="193"/>
      <c r="O50" s="103"/>
      <c r="P50" s="115"/>
      <c r="Q50" s="122"/>
    </row>
    <row r="51" spans="1:17" ht="18.75" customHeight="1">
      <c r="B51" s="182">
        <v>8</v>
      </c>
      <c r="C51" s="2" t="s">
        <v>24</v>
      </c>
      <c r="E51" s="55"/>
      <c r="F51" s="200">
        <f t="shared" ref="F51:I51" si="6">SUM(F52:F58)</f>
        <v>53861</v>
      </c>
      <c r="G51" s="96">
        <f>SUM(G52:G58)</f>
        <v>37755.4</v>
      </c>
      <c r="H51" s="81">
        <f>SUM(H52:H58)</f>
        <v>48276.542000000001</v>
      </c>
      <c r="I51" s="69">
        <f t="shared" si="6"/>
        <v>22772</v>
      </c>
      <c r="J51" s="81">
        <f t="shared" ref="J51" si="7">SUM(J52:J58)</f>
        <v>22772</v>
      </c>
      <c r="K51" s="130"/>
      <c r="O51" s="104">
        <f>SUM(O52:O58)</f>
        <v>51755.520000000004</v>
      </c>
      <c r="P51" s="114">
        <f>SUM(P52:P58)</f>
        <v>52468.185599999997</v>
      </c>
      <c r="Q51" s="121">
        <f>SUM(Q52:Q58)</f>
        <v>53202.231167999998</v>
      </c>
    </row>
    <row r="52" spans="1:17" s="166" customFormat="1" ht="18.75" customHeight="1">
      <c r="B52" s="183" t="s">
        <v>10</v>
      </c>
      <c r="C52" s="167" t="s">
        <v>25</v>
      </c>
      <c r="E52" s="168"/>
      <c r="F52" s="198">
        <v>3866</v>
      </c>
      <c r="G52" s="171">
        <f>6052+938+67.4</f>
        <v>7057.4</v>
      </c>
      <c r="H52" s="170">
        <f>G52*1.33</f>
        <v>9386.3420000000006</v>
      </c>
      <c r="I52" s="169">
        <v>5584</v>
      </c>
      <c r="J52" s="170">
        <v>5584</v>
      </c>
      <c r="K52" s="193"/>
      <c r="O52" s="103">
        <v>9000</v>
      </c>
      <c r="P52" s="115">
        <f>(O52*(1+$P$71))</f>
        <v>9270</v>
      </c>
      <c r="Q52" s="122">
        <f>(P52*(1+$Q$71))</f>
        <v>9548.1</v>
      </c>
    </row>
    <row r="53" spans="1:17" s="166" customFormat="1" ht="18.75" customHeight="1">
      <c r="B53" s="183" t="s">
        <v>11</v>
      </c>
      <c r="C53" s="167" t="s">
        <v>26</v>
      </c>
      <c r="E53" s="168"/>
      <c r="F53" s="198">
        <v>7742</v>
      </c>
      <c r="G53" s="171">
        <v>1030</v>
      </c>
      <c r="H53" s="170">
        <v>1500</v>
      </c>
      <c r="I53" s="169">
        <v>1500</v>
      </c>
      <c r="J53" s="170">
        <v>1500</v>
      </c>
      <c r="K53" s="193"/>
      <c r="O53" s="103">
        <f>(J53*(1+$O$71))</f>
        <v>1560</v>
      </c>
      <c r="P53" s="115">
        <f>(O53*(1+$P$71))</f>
        <v>1606.8</v>
      </c>
      <c r="Q53" s="122">
        <f>(P53*(1+$Q$71))</f>
        <v>1655.0039999999999</v>
      </c>
    </row>
    <row r="54" spans="1:17" s="166" customFormat="1" ht="18.75" customHeight="1">
      <c r="B54" s="183" t="s">
        <v>12</v>
      </c>
      <c r="C54" s="167" t="s">
        <v>27</v>
      </c>
      <c r="E54" s="168"/>
      <c r="F54" s="198">
        <v>9027</v>
      </c>
      <c r="G54" s="171">
        <v>9024</v>
      </c>
      <c r="H54" s="170">
        <v>9024</v>
      </c>
      <c r="I54" s="169">
        <v>10608</v>
      </c>
      <c r="J54" s="170">
        <v>10608</v>
      </c>
      <c r="K54" s="193" t="s">
        <v>115</v>
      </c>
      <c r="O54" s="103">
        <f>(J54*(1+$O$71))</f>
        <v>11032.32</v>
      </c>
      <c r="P54" s="115">
        <f>(O54*(1+$P$71))</f>
        <v>11363.2896</v>
      </c>
      <c r="Q54" s="122">
        <f>(P54*(1+$Q$71))</f>
        <v>11704.188288000001</v>
      </c>
    </row>
    <row r="55" spans="1:17" s="166" customFormat="1" ht="18.75" customHeight="1">
      <c r="B55" s="183" t="s">
        <v>13</v>
      </c>
      <c r="C55" s="167" t="s">
        <v>28</v>
      </c>
      <c r="E55" s="168"/>
      <c r="F55" s="198">
        <v>1313</v>
      </c>
      <c r="G55" s="171">
        <f>34+1470</f>
        <v>1504</v>
      </c>
      <c r="H55" s="170">
        <f>2580+330</f>
        <v>2910</v>
      </c>
      <c r="I55" s="169">
        <v>2080</v>
      </c>
      <c r="J55" s="170">
        <v>2080</v>
      </c>
      <c r="K55" s="193"/>
      <c r="O55" s="103">
        <f>SUM(J55*1.04)</f>
        <v>2163.2000000000003</v>
      </c>
      <c r="P55" s="115">
        <f>(O55*(1+$P$71))</f>
        <v>2228.0960000000005</v>
      </c>
      <c r="Q55" s="122">
        <f>(P55*(1+$Q$71))</f>
        <v>2294.9388800000006</v>
      </c>
    </row>
    <row r="56" spans="1:17" s="166" customFormat="1" ht="18.75" customHeight="1">
      <c r="B56" s="183" t="s">
        <v>14</v>
      </c>
      <c r="C56" s="167" t="s">
        <v>100</v>
      </c>
      <c r="E56" s="168"/>
      <c r="F56" s="198">
        <v>0</v>
      </c>
      <c r="G56" s="171">
        <v>19140</v>
      </c>
      <c r="H56" s="170">
        <f>G56*1.33</f>
        <v>25456.2</v>
      </c>
      <c r="I56" s="169">
        <v>0</v>
      </c>
      <c r="J56" s="170">
        <v>0</v>
      </c>
      <c r="K56" s="193" t="s">
        <v>116</v>
      </c>
      <c r="O56" s="103">
        <v>25000</v>
      </c>
      <c r="P56" s="115">
        <v>25000</v>
      </c>
      <c r="Q56" s="122">
        <v>25000</v>
      </c>
    </row>
    <row r="57" spans="1:17" s="166" customFormat="1" ht="18.75" customHeight="1">
      <c r="B57" s="183" t="s">
        <v>14</v>
      </c>
      <c r="C57" s="167" t="s">
        <v>29</v>
      </c>
      <c r="E57" s="168"/>
      <c r="F57" s="198">
        <v>8152</v>
      </c>
      <c r="G57" s="171">
        <v>0</v>
      </c>
      <c r="H57" s="170">
        <v>0</v>
      </c>
      <c r="I57" s="169">
        <v>3000</v>
      </c>
      <c r="J57" s="170">
        <v>3000</v>
      </c>
      <c r="K57" s="172"/>
      <c r="O57" s="103">
        <v>3000</v>
      </c>
      <c r="P57" s="115">
        <v>3000</v>
      </c>
      <c r="Q57" s="122">
        <v>3000</v>
      </c>
    </row>
    <row r="58" spans="1:17" s="173" customFormat="1" ht="18.75" customHeight="1">
      <c r="A58" s="166"/>
      <c r="B58" s="183" t="s">
        <v>15</v>
      </c>
      <c r="C58" s="167" t="s">
        <v>78</v>
      </c>
      <c r="D58" s="166"/>
      <c r="E58" s="168"/>
      <c r="F58" s="198">
        <v>23761</v>
      </c>
      <c r="G58" s="171">
        <v>0</v>
      </c>
      <c r="H58" s="170">
        <v>0</v>
      </c>
      <c r="I58" s="169">
        <v>0</v>
      </c>
      <c r="J58" s="170">
        <v>0</v>
      </c>
      <c r="K58" s="172"/>
      <c r="O58" s="103">
        <v>0</v>
      </c>
      <c r="P58" s="115">
        <v>0</v>
      </c>
      <c r="Q58" s="122">
        <v>0</v>
      </c>
    </row>
    <row r="59" spans="1:17" s="166" customFormat="1" ht="18.75" customHeight="1">
      <c r="B59" s="185"/>
      <c r="E59" s="168"/>
      <c r="F59" s="205"/>
      <c r="G59" s="181"/>
      <c r="H59" s="180"/>
      <c r="I59" s="179"/>
      <c r="J59" s="180"/>
      <c r="K59" s="172"/>
      <c r="O59" s="103"/>
      <c r="P59" s="115"/>
      <c r="Q59" s="122"/>
    </row>
    <row r="60" spans="1:17" ht="18.75" customHeight="1" thickBot="1">
      <c r="B60" s="182">
        <v>9</v>
      </c>
      <c r="C60" s="2" t="s">
        <v>30</v>
      </c>
      <c r="E60" s="55"/>
      <c r="F60" s="206">
        <f>SUM(F25+F31+F38+F43+F51)</f>
        <v>486862</v>
      </c>
      <c r="G60" s="94">
        <f>SUM(G25+G31+G38+G43+G51)</f>
        <v>359970.80000000005</v>
      </c>
      <c r="H60" s="79">
        <f>SUM(H25+H31+H38+H43+H51)</f>
        <v>460301.81400000001</v>
      </c>
      <c r="I60" s="75">
        <f>SUM(I25+I31+I38+I43+I51)</f>
        <v>393122</v>
      </c>
      <c r="J60" s="79">
        <f>SUM(J25+J31+J38+J43+J51)</f>
        <v>433568</v>
      </c>
      <c r="K60" s="55"/>
      <c r="O60" s="102">
        <f>SUM(O25+O31+O38+O43+O51)</f>
        <v>477944.82000000007</v>
      </c>
      <c r="P60" s="113">
        <f>SUM(P25+P31+P38+P43+P51)</f>
        <v>491151.35239999997</v>
      </c>
      <c r="Q60" s="120">
        <f>SUM(Q25+Q31+Q38+Q43+Q51)</f>
        <v>509640.11632799997</v>
      </c>
    </row>
    <row r="61" spans="1:17" s="2" customFormat="1" ht="18.75" customHeight="1" thickTop="1">
      <c r="B61" s="182"/>
      <c r="D61" s="1"/>
      <c r="E61" s="132"/>
      <c r="F61" s="207"/>
      <c r="G61" s="97"/>
      <c r="H61" s="82"/>
      <c r="I61" s="70"/>
      <c r="J61" s="82"/>
      <c r="K61" s="54"/>
      <c r="O61" s="105"/>
      <c r="P61" s="116"/>
      <c r="Q61" s="123"/>
    </row>
    <row r="62" spans="1:17" ht="18.75" customHeight="1" thickBot="1">
      <c r="B62" s="182">
        <v>10</v>
      </c>
      <c r="C62" s="2" t="s">
        <v>39</v>
      </c>
      <c r="E62" s="55"/>
      <c r="F62" s="206">
        <f>SUM(F23-F60)</f>
        <v>-75210</v>
      </c>
      <c r="G62" s="94">
        <f>SUM(G23-G60)</f>
        <v>41861.599999999919</v>
      </c>
      <c r="H62" s="79">
        <f>SUM(H23-H60)</f>
        <v>-37170.198000000033</v>
      </c>
      <c r="I62" s="75">
        <f>SUM(I23-I60)</f>
        <v>6751</v>
      </c>
      <c r="J62" s="79">
        <f>SUM(J23-J60)</f>
        <v>-32045</v>
      </c>
      <c r="K62" s="56"/>
      <c r="O62" s="102">
        <f>SUM(O23-O60)</f>
        <v>-40342.820000000065</v>
      </c>
      <c r="P62" s="113">
        <f>SUM(P23-P60)</f>
        <v>-53549.352399999974</v>
      </c>
      <c r="Q62" s="120">
        <f>SUM(Q23-Q60)</f>
        <v>-72226.116327999975</v>
      </c>
    </row>
    <row r="63" spans="1:17" ht="18.75" customHeight="1" thickTop="1">
      <c r="M63" s="50"/>
    </row>
    <row r="64" spans="1:17" ht="18.75" customHeight="1">
      <c r="B64" s="182" t="s">
        <v>124</v>
      </c>
      <c r="C64" s="1" t="s">
        <v>125</v>
      </c>
      <c r="H64" s="50"/>
      <c r="J64" s="215">
        <v>24416</v>
      </c>
      <c r="O64"/>
    </row>
    <row r="65" spans="1:17" ht="18.75" customHeight="1">
      <c r="E65" s="10"/>
      <c r="F65" s="10"/>
      <c r="G65" s="10"/>
      <c r="I65" s="10"/>
      <c r="J65" s="10"/>
    </row>
    <row r="66" spans="1:17" ht="18.75" customHeight="1">
      <c r="B66" s="182" t="s">
        <v>126</v>
      </c>
      <c r="C66" s="2" t="s">
        <v>127</v>
      </c>
      <c r="E66" s="31"/>
      <c r="F66" s="30"/>
      <c r="G66" s="30"/>
      <c r="I66" s="30"/>
      <c r="J66" s="196">
        <f>J64+J62</f>
        <v>-7629</v>
      </c>
      <c r="L66" s="30"/>
      <c r="M66" s="30"/>
    </row>
    <row r="67" spans="1:17" ht="18.75" customHeight="1">
      <c r="L67" s="50"/>
    </row>
    <row r="68" spans="1:17" ht="18.75" customHeight="1">
      <c r="C68" s="2"/>
      <c r="E68" s="31"/>
      <c r="F68" s="30"/>
      <c r="G68" s="30"/>
      <c r="H68" s="30"/>
      <c r="I68" s="30"/>
      <c r="K68" s="30"/>
      <c r="L68" s="30"/>
      <c r="N68" s="50"/>
    </row>
    <row r="69" spans="1:17" ht="18.75" customHeight="1">
      <c r="G69" s="40" t="s">
        <v>4</v>
      </c>
      <c r="M69" s="107" t="s">
        <v>81</v>
      </c>
      <c r="N69" s="50"/>
    </row>
    <row r="70" spans="1:17" ht="18.75" customHeight="1">
      <c r="B70" s="186">
        <v>11</v>
      </c>
      <c r="C70" s="9" t="s">
        <v>136</v>
      </c>
      <c r="D70" s="29" t="s">
        <v>40</v>
      </c>
      <c r="E70" s="29"/>
      <c r="F70" s="29"/>
      <c r="G70" s="29">
        <v>437790.47</v>
      </c>
      <c r="H70" s="29"/>
      <c r="J70" s="29"/>
      <c r="K70" s="29"/>
      <c r="M70" s="108" t="s">
        <v>129</v>
      </c>
      <c r="N70" s="126">
        <v>1.7500000000000002E-2</v>
      </c>
      <c r="O70" s="109">
        <v>0.02</v>
      </c>
      <c r="P70" s="109">
        <v>0.02</v>
      </c>
      <c r="Q70" s="109">
        <v>0.02</v>
      </c>
    </row>
    <row r="71" spans="1:17" ht="18.75" customHeight="1">
      <c r="B71" s="186"/>
      <c r="C71" s="9"/>
      <c r="D71" s="29" t="s">
        <v>73</v>
      </c>
      <c r="E71" s="29"/>
      <c r="F71" s="29"/>
      <c r="G71" s="29">
        <v>84819.1</v>
      </c>
      <c r="H71" s="29"/>
      <c r="J71" s="29"/>
      <c r="K71" s="29"/>
      <c r="M71" s="108" t="s">
        <v>130</v>
      </c>
      <c r="O71" s="109">
        <v>0.04</v>
      </c>
      <c r="P71" s="109">
        <v>0.03</v>
      </c>
      <c r="Q71" s="109">
        <v>0.03</v>
      </c>
    </row>
    <row r="72" spans="1:17" ht="18.75" customHeight="1">
      <c r="C72" s="9"/>
      <c r="D72" s="29" t="s">
        <v>41</v>
      </c>
      <c r="E72" s="29"/>
      <c r="F72" s="29"/>
      <c r="G72" s="29">
        <v>0</v>
      </c>
      <c r="H72" s="29"/>
      <c r="J72" s="29"/>
      <c r="K72" s="29"/>
      <c r="M72"/>
    </row>
    <row r="73" spans="1:17" ht="18.75" customHeight="1">
      <c r="C73" s="9"/>
      <c r="D73" s="29" t="s">
        <v>107</v>
      </c>
      <c r="E73" s="29"/>
      <c r="F73" s="29"/>
      <c r="G73" s="29">
        <v>25100.98</v>
      </c>
      <c r="H73" s="29"/>
      <c r="J73" s="29"/>
      <c r="K73" s="29"/>
      <c r="M73" s="98" t="s">
        <v>82</v>
      </c>
      <c r="N73" s="98"/>
      <c r="O73" s="216">
        <f>-O62/O6</f>
        <v>0.12710683600457498</v>
      </c>
      <c r="P73" s="124">
        <f t="shared" ref="P73:Q73" si="8">-P62/P6</f>
        <v>0.16871623633791538</v>
      </c>
      <c r="Q73" s="124">
        <f t="shared" si="8"/>
        <v>0.22756052064160198</v>
      </c>
    </row>
    <row r="74" spans="1:17" ht="18.75" customHeight="1">
      <c r="C74" s="9"/>
      <c r="D74" s="29" t="s">
        <v>42</v>
      </c>
      <c r="E74" s="29"/>
      <c r="F74" s="29"/>
      <c r="G74" s="38">
        <v>1000</v>
      </c>
      <c r="H74" s="29"/>
      <c r="J74" s="29"/>
      <c r="K74" s="29"/>
      <c r="M74" s="98"/>
      <c r="N74" s="98"/>
      <c r="O74" s="124"/>
      <c r="P74" s="124"/>
      <c r="Q74" s="124"/>
    </row>
    <row r="75" spans="1:17" ht="18.75" customHeight="1">
      <c r="C75" s="9"/>
      <c r="D75" s="30" t="s">
        <v>43</v>
      </c>
      <c r="E75" s="30"/>
      <c r="F75" s="30"/>
      <c r="G75" s="30">
        <f>SUM(G70:G74)</f>
        <v>548710.54999999993</v>
      </c>
      <c r="H75" s="30"/>
      <c r="J75" s="30"/>
      <c r="K75" s="30"/>
    </row>
    <row r="76" spans="1:17" ht="18.75" customHeight="1">
      <c r="N76" s="50"/>
    </row>
    <row r="77" spans="1:17" ht="18.75" customHeight="1">
      <c r="C77" s="9"/>
      <c r="E77" s="30"/>
      <c r="F77" s="30"/>
      <c r="G77" s="30"/>
      <c r="H77" s="30"/>
      <c r="I77" s="30"/>
      <c r="K77" s="30"/>
      <c r="L77" s="30"/>
    </row>
    <row r="78" spans="1:17" ht="18.75" customHeight="1" thickBot="1">
      <c r="H78" s="57"/>
      <c r="I78" s="57"/>
    </row>
    <row r="79" spans="1:17" ht="90.75" customHeight="1">
      <c r="A79" s="3" t="s">
        <v>44</v>
      </c>
      <c r="B79" s="187"/>
      <c r="C79" s="4"/>
      <c r="D79" s="5" t="s">
        <v>102</v>
      </c>
      <c r="E79" s="5" t="s">
        <v>103</v>
      </c>
      <c r="F79" s="5" t="s">
        <v>104</v>
      </c>
      <c r="G79" s="5" t="s">
        <v>80</v>
      </c>
      <c r="H79" s="5"/>
      <c r="I79" s="5"/>
      <c r="J79" s="61"/>
      <c r="K79" s="62"/>
      <c r="L79" s="62"/>
      <c r="M79" s="62"/>
      <c r="N79" s="135"/>
      <c r="O79" s="141"/>
      <c r="P79" s="141"/>
      <c r="Q79" s="141"/>
    </row>
    <row r="80" spans="1:17" ht="18.75" customHeight="1">
      <c r="B80" s="188"/>
      <c r="C80" s="6"/>
      <c r="D80" s="6"/>
      <c r="F80" s="6"/>
      <c r="G80" s="6"/>
      <c r="H80" s="6"/>
      <c r="I80" s="6"/>
      <c r="J80" s="50"/>
      <c r="N80" s="136"/>
    </row>
    <row r="81" spans="2:17" ht="18.75" customHeight="1">
      <c r="B81" s="188">
        <v>12</v>
      </c>
      <c r="C81" s="58" t="s">
        <v>45</v>
      </c>
      <c r="D81" s="40" t="s">
        <v>4</v>
      </c>
      <c r="E81" s="40" t="s">
        <v>4</v>
      </c>
      <c r="F81" s="40" t="s">
        <v>4</v>
      </c>
      <c r="G81" s="40" t="s">
        <v>4</v>
      </c>
      <c r="H81" s="40"/>
      <c r="I81" s="40"/>
      <c r="J81" s="60"/>
      <c r="N81" s="137"/>
      <c r="O81" s="40"/>
      <c r="P81" s="40"/>
      <c r="Q81" s="40"/>
    </row>
    <row r="82" spans="2:17" ht="18.75" customHeight="1">
      <c r="B82" s="188" t="s">
        <v>10</v>
      </c>
      <c r="C82" s="59" t="s">
        <v>53</v>
      </c>
      <c r="D82" s="143">
        <v>30000</v>
      </c>
      <c r="E82" s="144">
        <v>0</v>
      </c>
      <c r="F82" s="144">
        <v>30000</v>
      </c>
      <c r="G82" s="143">
        <f>SUM(D82+E82-F82)</f>
        <v>0</v>
      </c>
      <c r="H82" s="142" t="s">
        <v>137</v>
      </c>
      <c r="I82" s="30"/>
      <c r="J82" s="50"/>
      <c r="N82" s="138"/>
      <c r="O82" s="30"/>
      <c r="P82" s="30"/>
      <c r="Q82" s="30"/>
    </row>
    <row r="83" spans="2:17" ht="18.75" customHeight="1">
      <c r="B83" s="188" t="s">
        <v>11</v>
      </c>
      <c r="C83" s="6" t="s">
        <v>46</v>
      </c>
      <c r="D83" s="143">
        <v>24195.439999999999</v>
      </c>
      <c r="E83" s="144">
        <v>0</v>
      </c>
      <c r="F83" s="144">
        <v>0</v>
      </c>
      <c r="G83" s="143">
        <f t="shared" ref="G83:G87" si="9">SUM(D83+E83-F83)</f>
        <v>24195.439999999999</v>
      </c>
      <c r="I83" s="30"/>
      <c r="J83" s="60"/>
      <c r="N83" s="138"/>
      <c r="O83" s="30"/>
      <c r="P83" s="30"/>
      <c r="Q83" s="30"/>
    </row>
    <row r="84" spans="2:17" ht="18.75" customHeight="1">
      <c r="B84" s="188" t="s">
        <v>12</v>
      </c>
      <c r="C84" s="6" t="s">
        <v>47</v>
      </c>
      <c r="D84" s="143">
        <v>15000</v>
      </c>
      <c r="E84" s="144">
        <v>0</v>
      </c>
      <c r="F84" s="144">
        <v>15000</v>
      </c>
      <c r="G84" s="143">
        <f t="shared" si="9"/>
        <v>0</v>
      </c>
      <c r="H84" s="142" t="s">
        <v>137</v>
      </c>
      <c r="I84" s="30"/>
      <c r="J84" s="51"/>
      <c r="N84" s="138"/>
      <c r="O84" s="30"/>
      <c r="P84" s="30"/>
      <c r="Q84" s="30"/>
    </row>
    <row r="85" spans="2:17" ht="18.75" customHeight="1">
      <c r="B85" s="188" t="s">
        <v>13</v>
      </c>
      <c r="C85" s="6" t="s">
        <v>48</v>
      </c>
      <c r="D85" s="143">
        <v>40233</v>
      </c>
      <c r="E85" s="144">
        <v>0</v>
      </c>
      <c r="F85" s="144">
        <v>0</v>
      </c>
      <c r="G85" s="143">
        <f t="shared" si="9"/>
        <v>40233</v>
      </c>
      <c r="H85" s="142" t="s">
        <v>75</v>
      </c>
      <c r="I85" s="30"/>
      <c r="J85" s="60"/>
      <c r="N85" s="138"/>
      <c r="O85" s="30"/>
      <c r="P85" s="30"/>
      <c r="Q85" s="30"/>
    </row>
    <row r="86" spans="2:17" ht="18.75" customHeight="1">
      <c r="B86" s="188" t="s">
        <v>14</v>
      </c>
      <c r="C86" s="6" t="s">
        <v>49</v>
      </c>
      <c r="D86" s="143">
        <v>46000</v>
      </c>
      <c r="E86" s="144">
        <v>0</v>
      </c>
      <c r="F86" s="144">
        <v>6416</v>
      </c>
      <c r="G86" s="143">
        <f t="shared" si="9"/>
        <v>39584</v>
      </c>
      <c r="H86" s="142" t="s">
        <v>105</v>
      </c>
      <c r="I86" s="30"/>
      <c r="J86" s="51"/>
      <c r="N86" s="138"/>
      <c r="O86" s="30"/>
      <c r="P86" s="30"/>
      <c r="Q86" s="30"/>
    </row>
    <row r="87" spans="2:17" ht="18.75" customHeight="1">
      <c r="B87" s="188" t="s">
        <v>15</v>
      </c>
      <c r="C87" s="6" t="s">
        <v>50</v>
      </c>
      <c r="D87" s="143">
        <v>31247.53</v>
      </c>
      <c r="E87" s="144">
        <v>0</v>
      </c>
      <c r="F87" s="144">
        <v>18000</v>
      </c>
      <c r="G87" s="143">
        <f t="shared" si="9"/>
        <v>13247.529999999999</v>
      </c>
      <c r="H87" s="142" t="s">
        <v>118</v>
      </c>
      <c r="I87" s="30"/>
      <c r="J87" s="60"/>
      <c r="N87" s="138"/>
      <c r="O87" s="30"/>
      <c r="P87" s="30"/>
      <c r="Q87" s="30"/>
    </row>
    <row r="88" spans="2:17" ht="18.75" customHeight="1">
      <c r="B88" s="188" t="s">
        <v>16</v>
      </c>
      <c r="C88" s="6" t="s">
        <v>51</v>
      </c>
      <c r="D88" s="143">
        <v>0</v>
      </c>
      <c r="E88" s="144">
        <v>0</v>
      </c>
      <c r="F88" s="144">
        <v>0</v>
      </c>
      <c r="G88" s="143">
        <f>SUM(D88+E88-F88)</f>
        <v>0</v>
      </c>
      <c r="H88" s="30"/>
      <c r="I88" s="30"/>
      <c r="J88" s="60"/>
      <c r="N88" s="138"/>
      <c r="O88" s="30"/>
      <c r="P88" s="30"/>
      <c r="Q88" s="30"/>
    </row>
    <row r="89" spans="2:17" ht="18.75" customHeight="1">
      <c r="B89" s="188" t="s">
        <v>17</v>
      </c>
      <c r="C89" s="6" t="s">
        <v>52</v>
      </c>
      <c r="D89" s="143">
        <v>8126.25</v>
      </c>
      <c r="E89" s="144">
        <v>2303.14</v>
      </c>
      <c r="F89" s="144">
        <v>0</v>
      </c>
      <c r="G89" s="143">
        <f>SUM(D89+E89-F89)</f>
        <v>10429.39</v>
      </c>
      <c r="H89" s="30"/>
      <c r="I89" s="30"/>
      <c r="J89" s="60"/>
      <c r="N89" s="138"/>
      <c r="O89" s="30"/>
      <c r="P89" s="30"/>
      <c r="Q89" s="30"/>
    </row>
    <row r="90" spans="2:17" ht="18.75" customHeight="1">
      <c r="B90" s="188" t="s">
        <v>76</v>
      </c>
      <c r="C90" s="6" t="s">
        <v>131</v>
      </c>
      <c r="D90" s="143">
        <v>0</v>
      </c>
      <c r="E90" s="144">
        <v>65000</v>
      </c>
      <c r="F90" s="144">
        <v>0</v>
      </c>
      <c r="G90" s="143">
        <f>SUM(D90+E90-F90)</f>
        <v>65000</v>
      </c>
      <c r="H90" s="142" t="s">
        <v>137</v>
      </c>
      <c r="I90" s="30"/>
      <c r="J90" s="60"/>
      <c r="N90" s="138"/>
      <c r="O90" s="30"/>
      <c r="P90" s="30"/>
      <c r="Q90" s="30"/>
    </row>
    <row r="91" spans="2:17" ht="18.75" customHeight="1">
      <c r="B91" s="188" t="s">
        <v>92</v>
      </c>
      <c r="C91" s="6" t="s">
        <v>132</v>
      </c>
      <c r="D91" s="145">
        <v>0</v>
      </c>
      <c r="E91" s="146">
        <v>70000</v>
      </c>
      <c r="F91" s="146">
        <v>0</v>
      </c>
      <c r="G91" s="145">
        <f>D91+E91-F91</f>
        <v>70000</v>
      </c>
      <c r="H91" s="142" t="s">
        <v>137</v>
      </c>
      <c r="I91" s="30"/>
      <c r="J91" s="60"/>
      <c r="N91" s="138"/>
      <c r="O91" s="30"/>
      <c r="P91" s="30"/>
      <c r="Q91" s="30"/>
    </row>
    <row r="92" spans="2:17" ht="18.75" customHeight="1">
      <c r="B92" s="188">
        <v>13</v>
      </c>
      <c r="C92" s="58" t="s">
        <v>54</v>
      </c>
      <c r="D92" s="143">
        <f>SUM(D82:D91)</f>
        <v>194802.22</v>
      </c>
      <c r="E92" s="143">
        <f>SUM(E82:E91)</f>
        <v>137303.14000000001</v>
      </c>
      <c r="F92" s="143">
        <f>SUM(F82:F91)</f>
        <v>69416</v>
      </c>
      <c r="G92" s="143">
        <f>SUM(G82:G91)</f>
        <v>262689.36</v>
      </c>
      <c r="H92" s="30"/>
      <c r="I92" s="30"/>
      <c r="J92" s="60"/>
      <c r="N92" s="138"/>
      <c r="O92" s="30"/>
      <c r="P92" s="30"/>
      <c r="Q92" s="30"/>
    </row>
    <row r="93" spans="2:17" ht="18.75" customHeight="1">
      <c r="B93" s="188"/>
      <c r="C93" s="58"/>
      <c r="D93" s="143"/>
      <c r="E93" s="147"/>
      <c r="F93" s="143"/>
      <c r="G93" s="143"/>
      <c r="H93" s="30"/>
      <c r="I93" s="30"/>
      <c r="J93" s="60"/>
      <c r="N93" s="138"/>
      <c r="O93" s="30"/>
      <c r="P93" s="30"/>
      <c r="Q93" s="30"/>
    </row>
    <row r="94" spans="2:17" ht="18.75" customHeight="1">
      <c r="B94" s="188">
        <v>14</v>
      </c>
      <c r="C94" s="6" t="s">
        <v>55</v>
      </c>
      <c r="D94" s="144">
        <v>346669</v>
      </c>
      <c r="E94" s="148"/>
      <c r="F94" s="144"/>
      <c r="G94" s="144">
        <f>SUM(G96-G92)</f>
        <v>246736.86</v>
      </c>
      <c r="H94" s="29"/>
      <c r="I94" s="29"/>
      <c r="J94" s="60"/>
      <c r="N94" s="139"/>
      <c r="O94" s="29"/>
      <c r="P94" s="29"/>
      <c r="Q94" s="29"/>
    </row>
    <row r="95" spans="2:17" ht="18.75" customHeight="1">
      <c r="B95" s="188"/>
      <c r="C95" s="6"/>
      <c r="D95" s="143"/>
      <c r="E95" s="148"/>
      <c r="F95" s="144"/>
      <c r="G95" s="143"/>
      <c r="H95" s="30"/>
      <c r="I95" s="30"/>
      <c r="J95" s="60"/>
      <c r="N95" s="138"/>
      <c r="O95" s="30"/>
      <c r="P95" s="30"/>
      <c r="Q95" s="30"/>
    </row>
    <row r="96" spans="2:17" ht="18.75" customHeight="1" thickBot="1">
      <c r="B96" s="189">
        <v>15</v>
      </c>
      <c r="C96" s="28" t="s">
        <v>56</v>
      </c>
      <c r="D96" s="149">
        <f>SUM(D92:D94)</f>
        <v>541471.22</v>
      </c>
      <c r="E96" s="149"/>
      <c r="F96" s="149"/>
      <c r="G96" s="149">
        <f>SUM(D96+J62)</f>
        <v>509426.22</v>
      </c>
      <c r="H96" s="52" t="s">
        <v>57</v>
      </c>
      <c r="I96" s="39"/>
      <c r="J96" s="63"/>
      <c r="K96" s="63"/>
      <c r="L96" s="63"/>
      <c r="M96" s="63"/>
      <c r="N96" s="140"/>
      <c r="O96" s="57"/>
      <c r="P96" s="57"/>
      <c r="Q96" s="57"/>
    </row>
    <row r="97" spans="2:13" ht="18.75" customHeight="1">
      <c r="B97" s="190"/>
      <c r="C97" s="6"/>
      <c r="D97" s="6"/>
      <c r="E97" s="30"/>
      <c r="F97" s="7"/>
      <c r="G97" s="7"/>
      <c r="I97" s="8"/>
      <c r="J97" s="37"/>
      <c r="K97" s="8"/>
      <c r="L97" s="8"/>
      <c r="M97" s="8"/>
    </row>
    <row r="98" spans="2:13" ht="18.75" customHeight="1">
      <c r="E98" s="31"/>
      <c r="F98" s="31"/>
      <c r="G98" s="31"/>
      <c r="H98" s="31"/>
      <c r="I98" s="31"/>
      <c r="K98" s="31"/>
      <c r="L98" s="31"/>
      <c r="M98" s="31"/>
    </row>
    <row r="99" spans="2:13" ht="18.75" customHeight="1">
      <c r="E99" s="31"/>
      <c r="F99" s="31"/>
      <c r="G99" s="31"/>
      <c r="H99" s="31"/>
      <c r="I99" s="31"/>
      <c r="K99" s="31"/>
      <c r="L99" s="31"/>
      <c r="M99" s="31"/>
    </row>
    <row r="100" spans="2:13" ht="18.75" customHeight="1">
      <c r="E100" s="11" t="s">
        <v>58</v>
      </c>
      <c r="F100" s="11" t="s">
        <v>59</v>
      </c>
      <c r="G100" s="84" t="s">
        <v>60</v>
      </c>
      <c r="H100" s="11" t="s">
        <v>61</v>
      </c>
      <c r="I100" s="11" t="s">
        <v>62</v>
      </c>
      <c r="J100" s="11" t="s">
        <v>63</v>
      </c>
      <c r="K100" s="11" t="s">
        <v>101</v>
      </c>
      <c r="L100" s="208" t="s">
        <v>128</v>
      </c>
      <c r="M100" s="31"/>
    </row>
    <row r="101" spans="2:13" ht="18.75" customHeight="1">
      <c r="B101" s="182">
        <v>16</v>
      </c>
      <c r="C101" s="12" t="s">
        <v>64</v>
      </c>
      <c r="D101" s="13"/>
      <c r="E101" s="14">
        <f>323747-34368</f>
        <v>289379</v>
      </c>
      <c r="F101" s="15">
        <v>298208</v>
      </c>
      <c r="G101" s="85">
        <v>301190</v>
      </c>
      <c r="H101" s="33">
        <v>303541.58</v>
      </c>
      <c r="I101" s="42">
        <v>303634</v>
      </c>
      <c r="J101" s="46">
        <v>303634</v>
      </c>
      <c r="K101" s="209">
        <v>315502</v>
      </c>
      <c r="L101" s="213">
        <v>317393</v>
      </c>
      <c r="M101" s="31"/>
    </row>
    <row r="102" spans="2:13" ht="18.75" customHeight="1">
      <c r="C102" s="16" t="s">
        <v>65</v>
      </c>
      <c r="D102" s="17"/>
      <c r="E102" s="18">
        <v>5117.21</v>
      </c>
      <c r="F102" s="19">
        <v>5172.7299999999996</v>
      </c>
      <c r="G102" s="86">
        <v>5221.3</v>
      </c>
      <c r="H102" s="34">
        <v>5262.51</v>
      </c>
      <c r="I102" s="43">
        <v>5263.66</v>
      </c>
      <c r="J102" s="47">
        <v>5262.09</v>
      </c>
      <c r="K102" s="210">
        <v>5284.97</v>
      </c>
      <c r="L102" s="213">
        <v>5316.64</v>
      </c>
      <c r="M102" s="10"/>
    </row>
    <row r="103" spans="2:13" ht="18.75" customHeight="1">
      <c r="C103" s="20" t="s">
        <v>66</v>
      </c>
      <c r="D103" s="21"/>
      <c r="E103" s="22">
        <f>SUM(E101/E102)</f>
        <v>56.550151352006267</v>
      </c>
      <c r="F103" s="23">
        <f t="shared" ref="F103:J103" si="10">SUM(F101/F102)</f>
        <v>57.650022328634982</v>
      </c>
      <c r="G103" s="87">
        <f t="shared" si="10"/>
        <v>57.684867753241527</v>
      </c>
      <c r="H103" s="35">
        <f t="shared" si="10"/>
        <v>57.680000608074856</v>
      </c>
      <c r="I103" s="44">
        <f t="shared" si="10"/>
        <v>57.68495685511602</v>
      </c>
      <c r="J103" s="48">
        <f t="shared" si="10"/>
        <v>57.7021677698405</v>
      </c>
      <c r="K103" s="211">
        <f t="shared" ref="K103:L103" si="11">SUM(K101/K102)</f>
        <v>59.697973687646282</v>
      </c>
      <c r="L103" s="214">
        <f t="shared" si="11"/>
        <v>59.698042372626318</v>
      </c>
    </row>
    <row r="104" spans="2:13" ht="18.75" customHeight="1">
      <c r="C104" s="24" t="s">
        <v>67</v>
      </c>
      <c r="D104" s="25"/>
      <c r="E104" s="26">
        <v>-8.0000000000000002E-3</v>
      </c>
      <c r="F104" s="27">
        <f t="shared" ref="F104:L104" si="12">(F103-E103)/E103</f>
        <v>1.9449478919735801E-2</v>
      </c>
      <c r="G104" s="83">
        <f t="shared" si="12"/>
        <v>6.0443037485583993E-4</v>
      </c>
      <c r="H104" s="36">
        <f t="shared" si="12"/>
        <v>-8.4374730431745432E-5</v>
      </c>
      <c r="I104" s="45">
        <f t="shared" si="12"/>
        <v>8.5926612151778124E-5</v>
      </c>
      <c r="J104" s="53">
        <f t="shared" si="12"/>
        <v>2.9836053735304553E-4</v>
      </c>
      <c r="K104" s="212">
        <f t="shared" si="12"/>
        <v>3.4588057865807612E-2</v>
      </c>
      <c r="L104" s="213">
        <f t="shared" si="12"/>
        <v>1.1505412293448714E-6</v>
      </c>
    </row>
    <row r="105" spans="2:13" ht="18.75" customHeight="1"/>
    <row r="106" spans="2:13" ht="18.75" customHeight="1"/>
    <row r="107" spans="2:13" ht="18.75" customHeight="1"/>
    <row r="108" spans="2:13">
      <c r="B108" s="2"/>
    </row>
    <row r="135" spans="2:7">
      <c r="B135" s="2"/>
    </row>
    <row r="136" spans="2:7">
      <c r="B136" s="2"/>
      <c r="E136" s="10"/>
      <c r="F136" s="10"/>
      <c r="G136" s="10"/>
    </row>
    <row r="137" spans="2:7">
      <c r="B137" s="2"/>
      <c r="E137" s="10"/>
      <c r="F137" s="10"/>
      <c r="G137" s="10"/>
    </row>
    <row r="138" spans="2:7">
      <c r="B138" s="2"/>
      <c r="E138" s="10"/>
      <c r="F138" s="10"/>
      <c r="G138" s="10"/>
    </row>
    <row r="139" spans="2:7">
      <c r="B139" s="2"/>
      <c r="E139" s="10"/>
      <c r="F139" s="10"/>
      <c r="G139" s="10"/>
    </row>
    <row r="140" spans="2:7">
      <c r="B140" s="2"/>
      <c r="E140" s="10"/>
      <c r="F140" s="10"/>
      <c r="G140" s="10"/>
    </row>
  </sheetData>
  <mergeCells count="1">
    <mergeCell ref="L1:N1"/>
  </mergeCells>
  <phoneticPr fontId="5" type="noConversion"/>
  <pageMargins left="0.55118110236220474" right="0.31496062992125984" top="0.74803149606299213" bottom="0.74803149606299213" header="0.39370078740157483" footer="0.31496062992125984"/>
  <pageSetup paperSize="8" scale="46" orientation="portrait" horizontalDpi="4294967292" verticalDpi="4294967292" r:id="rId1"/>
  <headerFooter>
    <oddHeader>&amp;C&amp;"-,Bold"&amp;22Detailed Budget Working Sheet 2023-2024 + 2 years projections</oddHeader>
  </headerFooter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78727A63AE4A489D6AD619A8854011" ma:contentTypeVersion="16" ma:contentTypeDescription="Create a new document." ma:contentTypeScope="" ma:versionID="b66e22e6ca27a0fc047a065bea5b6f02">
  <xsd:schema xmlns:xsd="http://www.w3.org/2001/XMLSchema" xmlns:xs="http://www.w3.org/2001/XMLSchema" xmlns:p="http://schemas.microsoft.com/office/2006/metadata/properties" xmlns:ns2="c9ae8f62-32db-4764-a673-0a8d52adf9ae" xmlns:ns3="14c9a7cd-11c5-4c95-b562-4551e724b51a" targetNamespace="http://schemas.microsoft.com/office/2006/metadata/properties" ma:root="true" ma:fieldsID="f92f708573f9d72460de7baa85c35733" ns2:_="" ns3:_="">
    <xsd:import namespace="c9ae8f62-32db-4764-a673-0a8d52adf9ae"/>
    <xsd:import namespace="14c9a7cd-11c5-4c95-b562-4551e724b5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e8f62-32db-4764-a673-0a8d52adf9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854f99d-8121-4b79-988e-83837cede4fe}" ma:internalName="TaxCatchAll" ma:showField="CatchAllData" ma:web="c9ae8f62-32db-4764-a673-0a8d52adf9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9a7cd-11c5-4c95-b562-4551e724b5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5793fd9-ec69-4c3c-9bdc-397a1fcdb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ae8f62-32db-4764-a673-0a8d52adf9ae" xsi:nil="true"/>
    <lcf76f155ced4ddcb4097134ff3c332f xmlns="14c9a7cd-11c5-4c95-b562-4551e724b51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4DC38E-EAE3-45CA-BBAB-F8DD3DE4F2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e8f62-32db-4764-a673-0a8d52adf9ae"/>
    <ds:schemaRef ds:uri="14c9a7cd-11c5-4c95-b562-4551e724b5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D39FB9-BE3B-4532-9FF8-7E58EF2BDBAF}">
  <ds:schemaRefs>
    <ds:schemaRef ds:uri="http://schemas.microsoft.com/office/2006/metadata/properties"/>
    <ds:schemaRef ds:uri="http://schemas.microsoft.com/office/infopath/2007/PartnerControls"/>
    <ds:schemaRef ds:uri="c9ae8f62-32db-4764-a673-0a8d52adf9ae"/>
    <ds:schemaRef ds:uri="14c9a7cd-11c5-4c95-b562-4551e724b51a"/>
  </ds:schemaRefs>
</ds:datastoreItem>
</file>

<file path=customXml/itemProps3.xml><?xml version="1.0" encoding="utf-8"?>
<ds:datastoreItem xmlns:ds="http://schemas.openxmlformats.org/officeDocument/2006/customXml" ds:itemID="{604AD2CD-656E-4145-9487-96AD2CC4C4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01.02.23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Becci</dc:creator>
  <cp:keywords/>
  <dc:description/>
  <cp:lastModifiedBy>Clerk</cp:lastModifiedBy>
  <cp:revision/>
  <cp:lastPrinted>2023-04-12T14:07:29Z</cp:lastPrinted>
  <dcterms:created xsi:type="dcterms:W3CDTF">2017-09-18T13:07:34Z</dcterms:created>
  <dcterms:modified xsi:type="dcterms:W3CDTF">2023-11-29T13:58:48Z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0x010100BD78727A63AE4A489D6AD619A8854011</vt:lpwstr>
  </property>
  <property fmtid="{D5CDD505-2E9C-101B-9397-08002B2CF9AE}" pid="3" name="MediaServiceImageTags">
    <vt:lpwstr/>
  </property>
</Properties>
</file>